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DA Regulations\Disclosure of benefitpremium illustration for Health insurance policies issued on floater basis\Benefit Illustration Calculators\"/>
    </mc:Choice>
  </mc:AlternateContent>
  <xr:revisionPtr revIDLastSave="0" documentId="13_ncr:1_{65262A50-24B1-405D-BC6C-D62AF418EA57}" xr6:coauthVersionLast="47" xr6:coauthVersionMax="47" xr10:uidLastSave="{00000000-0000-0000-0000-000000000000}"/>
  <workbookProtection workbookAlgorithmName="SHA-512" workbookHashValue="G4FXDsIU3CONj6Cc5vAQbOX3XDxjC8+nrNFEETNetqGmSA1OpZfTaNzSLDwpW0CcjgtFf4JoPMUCjUoCl6tZsg==" workbookSaltValue="QDWMfcsjA/0+TAWJErKJFA==" workbookSpinCount="100000" lockStructure="1"/>
  <bookViews>
    <workbookView xWindow="-120" yWindow="-120" windowWidth="20730" windowHeight="11160" xr2:uid="{00000000-000D-0000-FFFF-FFFF00000000}"/>
  </bookViews>
  <sheets>
    <sheet name="Sheet1" sheetId="7" r:id="rId1"/>
    <sheet name="Drop down lists" sheetId="2" state="hidden" r:id="rId2"/>
    <sheet name="Master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3" l="1"/>
  <c r="AB5" i="3" l="1"/>
  <c r="D16" i="7" s="1"/>
  <c r="AA5" i="3"/>
  <c r="A16" i="7" s="1"/>
  <c r="A10" i="7"/>
  <c r="Y10" i="3"/>
  <c r="Y9" i="3"/>
  <c r="T7" i="3"/>
  <c r="T8" i="3"/>
  <c r="V8" i="3" s="1"/>
  <c r="T6" i="3"/>
  <c r="V6" i="3" s="1"/>
  <c r="T5" i="3"/>
  <c r="T4" i="3"/>
  <c r="U4" i="3" s="1"/>
  <c r="G14" i="7"/>
  <c r="G13" i="7"/>
  <c r="G12" i="7"/>
  <c r="G11" i="7"/>
  <c r="G10" i="7"/>
  <c r="C14" i="7"/>
  <c r="C13" i="7"/>
  <c r="C12" i="7"/>
  <c r="C11" i="7"/>
  <c r="C10" i="7"/>
  <c r="A14" i="7"/>
  <c r="A13" i="7"/>
  <c r="A12" i="7"/>
  <c r="A11" i="7"/>
  <c r="V5" i="3" l="1"/>
  <c r="S4" i="3"/>
  <c r="Z22" i="3"/>
  <c r="U7" i="3"/>
  <c r="V7" i="3"/>
  <c r="Z19" i="3"/>
  <c r="Z20" i="3" s="1"/>
  <c r="U8" i="3"/>
  <c r="W8" i="3" s="1"/>
  <c r="U5" i="3"/>
  <c r="U6" i="3"/>
  <c r="W6" i="3" s="1"/>
  <c r="V4" i="3"/>
  <c r="W4" i="3" s="1"/>
  <c r="Y19" i="3"/>
  <c r="W5" i="3" l="1"/>
  <c r="W7" i="3"/>
  <c r="W10" i="3" s="1"/>
  <c r="H10" i="7" s="1"/>
  <c r="K10" i="7"/>
  <c r="AC5" i="3"/>
  <c r="H16" i="7" s="1"/>
  <c r="W9" i="3"/>
  <c r="AB4" i="3" l="1"/>
  <c r="D15" i="7" s="1"/>
  <c r="AA4" i="3"/>
  <c r="A15" i="7" s="1"/>
  <c r="AB38" i="3" l="1"/>
  <c r="Z9" i="3" l="1"/>
  <c r="AG10" i="3" l="1"/>
  <c r="AG9" i="3"/>
  <c r="AG8" i="3"/>
  <c r="AG7" i="3"/>
  <c r="AG6" i="3"/>
  <c r="AG5" i="3"/>
  <c r="AG4" i="3"/>
  <c r="AG3" i="3"/>
  <c r="R8" i="3" l="1"/>
  <c r="R7" i="3"/>
  <c r="R6" i="3"/>
  <c r="R5" i="3"/>
  <c r="R4" i="3"/>
  <c r="Y21" i="3" l="1"/>
  <c r="Y22" i="3" s="1"/>
  <c r="X4" i="3" l="1"/>
  <c r="Y23" i="3"/>
  <c r="I10" i="7" s="1"/>
  <c r="B10" i="7" l="1"/>
  <c r="D10" i="7"/>
  <c r="F10" i="7"/>
  <c r="X7" i="3" l="1"/>
  <c r="X8" i="3"/>
  <c r="B14" i="7" l="1"/>
  <c r="D14" i="7"/>
  <c r="F14" i="7"/>
  <c r="D13" i="7"/>
  <c r="B13" i="7"/>
  <c r="F13" i="7"/>
  <c r="X6" i="3"/>
  <c r="Y24" i="3"/>
  <c r="X10" i="3" s="1"/>
  <c r="X5" i="3"/>
  <c r="AC4" i="3" l="1"/>
  <c r="H15" i="7" s="1"/>
  <c r="J10" i="7"/>
  <c r="F12" i="7"/>
  <c r="D12" i="7"/>
  <c r="B12" i="7"/>
  <c r="F11" i="7"/>
  <c r="B11" i="7"/>
  <c r="D11" i="7"/>
  <c r="X9" i="3"/>
  <c r="AI15" i="3" s="1"/>
  <c r="AI16" i="3" l="1"/>
  <c r="AI17" i="3" s="1"/>
  <c r="AB40" i="3" l="1"/>
  <c r="AB41" i="3"/>
  <c r="AC41" i="3" s="1"/>
  <c r="AG13" i="3" s="1"/>
  <c r="AC40" i="3" l="1"/>
</calcChain>
</file>

<file path=xl/sharedStrings.xml><?xml version="1.0" encoding="utf-8"?>
<sst xmlns="http://schemas.openxmlformats.org/spreadsheetml/2006/main" count="162" uniqueCount="106">
  <si>
    <t>1 year</t>
  </si>
  <si>
    <t>No</t>
  </si>
  <si>
    <t>No. of Children</t>
  </si>
  <si>
    <t>Sr. No.</t>
  </si>
  <si>
    <t>Insured Name</t>
  </si>
  <si>
    <t>Age</t>
  </si>
  <si>
    <t>Sum Insured</t>
  </si>
  <si>
    <t>Years</t>
  </si>
  <si>
    <t>Age Band</t>
  </si>
  <si>
    <t>91 days - 25 years</t>
  </si>
  <si>
    <t>26 years - 35 years</t>
  </si>
  <si>
    <t>36 years - 40 years</t>
  </si>
  <si>
    <t>41 years - 45 years</t>
  </si>
  <si>
    <t>46 years - 50 years</t>
  </si>
  <si>
    <t>51 years - 55 years</t>
  </si>
  <si>
    <t>56 years - 60 years</t>
  </si>
  <si>
    <t>61 years - 65 years</t>
  </si>
  <si>
    <t>66 years - 70 years</t>
  </si>
  <si>
    <t>71 years - 75 years</t>
  </si>
  <si>
    <t>Working</t>
  </si>
  <si>
    <t>Age band</t>
  </si>
  <si>
    <t>Base Premium</t>
  </si>
  <si>
    <t>NA</t>
  </si>
  <si>
    <t>Age Bands</t>
  </si>
  <si>
    <t>Discount</t>
  </si>
  <si>
    <t>Family floater Disc</t>
  </si>
  <si>
    <t>Per child</t>
  </si>
  <si>
    <t>For addition of 1 adult, the discount will be:</t>
  </si>
  <si>
    <t>Adult</t>
  </si>
  <si>
    <t>Highest Age</t>
  </si>
  <si>
    <t>Age band of Highest</t>
  </si>
  <si>
    <t>Discount %</t>
  </si>
  <si>
    <t>Family Floater</t>
  </si>
  <si>
    <t>Sum insured</t>
  </si>
  <si>
    <t>Child</t>
  </si>
  <si>
    <t>Total disc</t>
  </si>
  <si>
    <t>Total disc amt</t>
  </si>
  <si>
    <t>Total (Individual)</t>
  </si>
  <si>
    <t>Total (Family floater)</t>
  </si>
  <si>
    <t>Loading amt</t>
  </si>
  <si>
    <t>Loading</t>
  </si>
  <si>
    <t>Total</t>
  </si>
  <si>
    <t>Half_Yearly</t>
  </si>
  <si>
    <t>Installment Calculation</t>
  </si>
  <si>
    <t>Installment Frequency</t>
  </si>
  <si>
    <t>Loading on Annual Premium</t>
  </si>
  <si>
    <t>Quarterly</t>
  </si>
  <si>
    <t>Monthly</t>
  </si>
  <si>
    <t>Option Loading</t>
  </si>
  <si>
    <t>Total with installment</t>
  </si>
  <si>
    <t>Individual</t>
  </si>
  <si>
    <t>FF</t>
  </si>
  <si>
    <t>Premium with loading</t>
  </si>
  <si>
    <t>Basic Premium</t>
  </si>
  <si>
    <t>Concat</t>
  </si>
  <si>
    <t>Months</t>
  </si>
  <si>
    <t>Net Premium wo installment</t>
  </si>
  <si>
    <t>Very imp</t>
  </si>
  <si>
    <t>No. of Insured</t>
  </si>
  <si>
    <t>Self</t>
  </si>
  <si>
    <t>Spouse</t>
  </si>
  <si>
    <t>Son</t>
  </si>
  <si>
    <t>Daughter</t>
  </si>
  <si>
    <t>Mother</t>
  </si>
  <si>
    <t>Father</t>
  </si>
  <si>
    <t>Brother</t>
  </si>
  <si>
    <t>Sister</t>
  </si>
  <si>
    <t>Mother-in-Law</t>
  </si>
  <si>
    <t>Father-in-law</t>
  </si>
  <si>
    <t>Son-in-law</t>
  </si>
  <si>
    <t>Daughter-in-law</t>
  </si>
  <si>
    <t>Grand-Mother</t>
  </si>
  <si>
    <t>Grand-Father</t>
  </si>
  <si>
    <t>Ind Relationship</t>
  </si>
  <si>
    <t>Family Relationship</t>
  </si>
  <si>
    <t>Substandard Loading</t>
  </si>
  <si>
    <t>&gt;76 years</t>
  </si>
  <si>
    <t>Policy Tenure</t>
  </si>
  <si>
    <t>Occupation</t>
  </si>
  <si>
    <t>Male</t>
  </si>
  <si>
    <t>Female</t>
  </si>
  <si>
    <t>Salaried</t>
  </si>
  <si>
    <t>Student</t>
  </si>
  <si>
    <t>Select</t>
  </si>
  <si>
    <t>Housewife</t>
  </si>
  <si>
    <t>Retired</t>
  </si>
  <si>
    <t>Others</t>
  </si>
  <si>
    <t>UIN: LIBHLIP20167V011920</t>
  </si>
  <si>
    <t>Benefit Illustration in respect of policies offered on individual and family floater basis</t>
  </si>
  <si>
    <t>1st Adult Age</t>
  </si>
  <si>
    <t>2nd Adult Age</t>
  </si>
  <si>
    <t>1st Child Age</t>
  </si>
  <si>
    <t>2nd Child Age</t>
  </si>
  <si>
    <t>3rd Child Age</t>
  </si>
  <si>
    <t>Age of the members insured</t>
  </si>
  <si>
    <t>Coverage opted on individual basis covering each member of the family separately (at a single point in time)</t>
  </si>
  <si>
    <t>Coverage opted on individual basis covering multiple members of the family under a single policy (Sum insured is available for each member of the family)</t>
  </si>
  <si>
    <t>Coverage opted on family floater basis with overall Sum insured (Only one sum insured is available for the entire family)</t>
  </si>
  <si>
    <t>Premium (Rs.)</t>
  </si>
  <si>
    <t>Sum insured (Rs.)</t>
  </si>
  <si>
    <t>Discount, (if any)</t>
  </si>
  <si>
    <t>Premium after discount (Rs.)</t>
  </si>
  <si>
    <t>Premium or consolidated premium for all members of family (Rs.)</t>
  </si>
  <si>
    <t>Floater discount, if any</t>
  </si>
  <si>
    <t>AROGYA SANJEEVANI POLICY, LIBERTY GENERAL INSURANCE LIMITED</t>
  </si>
  <si>
    <t>3-11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</si>
</sst>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Garamond"/>
      <family val="1"/>
    </font>
    <font>
      <sz val="11"/>
      <color theme="4" tint="-0.499984740745262"/>
      <name val="Rockwell"/>
      <family val="1"/>
    </font>
    <font>
      <sz val="9"/>
      <color theme="1"/>
      <name val="Calibri"/>
      <family val="2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/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5" fillId="0" borderId="0" xfId="0" applyFont="1"/>
    <xf numFmtId="9" fontId="0" fillId="0" borderId="0" xfId="0" applyNumberFormat="1"/>
    <xf numFmtId="9" fontId="0" fillId="0" borderId="0" xfId="0" applyNumberFormat="1" applyFont="1"/>
    <xf numFmtId="1" fontId="0" fillId="0" borderId="0" xfId="0" applyNumberFormat="1" applyFont="1"/>
    <xf numFmtId="0" fontId="3" fillId="0" borderId="0" xfId="0" applyFont="1" applyFill="1" applyBorder="1" applyAlignment="1">
      <alignment horizontal="center" vertical="center"/>
    </xf>
    <xf numFmtId="165" fontId="0" fillId="0" borderId="0" xfId="1" applyNumberFormat="1" applyFont="1"/>
    <xf numFmtId="0" fontId="5" fillId="6" borderId="0" xfId="0" applyFont="1" applyFill="1"/>
    <xf numFmtId="0" fontId="5" fillId="6" borderId="0" xfId="0" applyFont="1" applyFill="1" applyAlignment="1">
      <alignment wrapText="1"/>
    </xf>
    <xf numFmtId="165" fontId="0" fillId="0" borderId="0" xfId="0" applyNumberFormat="1" applyFont="1"/>
    <xf numFmtId="165" fontId="0" fillId="0" borderId="1" xfId="1" applyNumberFormat="1" applyFont="1" applyBorder="1"/>
    <xf numFmtId="0" fontId="0" fillId="0" borderId="1" xfId="0" applyFont="1" applyFill="1" applyBorder="1"/>
    <xf numFmtId="0" fontId="5" fillId="2" borderId="1" xfId="0" applyFont="1" applyFill="1" applyBorder="1" applyAlignment="1"/>
    <xf numFmtId="0" fontId="5" fillId="2" borderId="1" xfId="0" applyFont="1" applyFill="1" applyBorder="1"/>
    <xf numFmtId="165" fontId="0" fillId="0" borderId="0" xfId="1" applyNumberFormat="1" applyFont="1" applyFill="1" applyBorder="1"/>
    <xf numFmtId="165" fontId="5" fillId="3" borderId="0" xfId="1" applyNumberFormat="1" applyFont="1" applyFill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5" fillId="4" borderId="0" xfId="0" applyFont="1" applyFill="1" applyBorder="1"/>
    <xf numFmtId="0" fontId="5" fillId="5" borderId="0" xfId="0" applyFont="1" applyFill="1" applyBorder="1"/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4" fillId="6" borderId="0" xfId="0" applyFont="1" applyFill="1" applyBorder="1" applyAlignment="1">
      <alignment vertical="center"/>
    </xf>
    <xf numFmtId="165" fontId="0" fillId="0" borderId="1" xfId="0" applyNumberFormat="1" applyFont="1" applyBorder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10" fontId="0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13" xfId="0" applyFont="1" applyBorder="1"/>
    <xf numFmtId="1" fontId="0" fillId="0" borderId="1" xfId="0" applyNumberFormat="1" applyFont="1" applyBorder="1" applyAlignment="1"/>
    <xf numFmtId="0" fontId="0" fillId="0" borderId="0" xfId="0" applyFont="1" applyFill="1" applyBorder="1"/>
    <xf numFmtId="0" fontId="7" fillId="0" borderId="0" xfId="0" applyFont="1" applyBorder="1"/>
    <xf numFmtId="0" fontId="5" fillId="0" borderId="1" xfId="0" applyFont="1" applyFill="1" applyBorder="1"/>
    <xf numFmtId="0" fontId="8" fillId="0" borderId="0" xfId="0" applyFont="1"/>
    <xf numFmtId="0" fontId="3" fillId="0" borderId="2" xfId="0" applyFont="1" applyBorder="1" applyAlignment="1">
      <alignment horizontal="center" vertical="center"/>
    </xf>
    <xf numFmtId="1" fontId="0" fillId="0" borderId="2" xfId="0" applyNumberFormat="1" applyFont="1" applyBorder="1" applyAlignment="1"/>
    <xf numFmtId="0" fontId="0" fillId="0" borderId="2" xfId="0" applyFont="1" applyBorder="1"/>
    <xf numFmtId="0" fontId="4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/>
    <xf numFmtId="1" fontId="0" fillId="0" borderId="0" xfId="0" applyNumberFormat="1" applyFont="1" applyFill="1" applyBorder="1"/>
    <xf numFmtId="0" fontId="3" fillId="0" borderId="14" xfId="0" applyFont="1" applyFill="1" applyBorder="1" applyAlignment="1">
      <alignment vertical="center"/>
    </xf>
    <xf numFmtId="43" fontId="0" fillId="0" borderId="0" xfId="0" applyNumberFormat="1" applyFont="1"/>
    <xf numFmtId="1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/>
    <xf numFmtId="0" fontId="5" fillId="0" borderId="0" xfId="0" applyFont="1" applyBorder="1"/>
    <xf numFmtId="1" fontId="0" fillId="0" borderId="0" xfId="0" applyNumberFormat="1" applyFont="1" applyBorder="1" applyAlignment="1"/>
    <xf numFmtId="0" fontId="0" fillId="0" borderId="0" xfId="0" applyNumberFormat="1" applyFont="1" applyBorder="1"/>
    <xf numFmtId="166" fontId="0" fillId="0" borderId="0" xfId="1" applyNumberFormat="1" applyFont="1" applyFill="1" applyBorder="1"/>
    <xf numFmtId="0" fontId="5" fillId="0" borderId="0" xfId="0" applyFont="1" applyFill="1" applyBorder="1"/>
    <xf numFmtId="0" fontId="2" fillId="10" borderId="12" xfId="0" applyFont="1" applyFill="1" applyBorder="1" applyProtection="1">
      <protection hidden="1"/>
    </xf>
    <xf numFmtId="0" fontId="11" fillId="9" borderId="1" xfId="0" applyFont="1" applyFill="1" applyBorder="1" applyAlignment="1" applyProtection="1">
      <alignment horizontal="right"/>
      <protection locked="0"/>
    </xf>
    <xf numFmtId="0" fontId="2" fillId="10" borderId="1" xfId="0" applyFont="1" applyFill="1" applyBorder="1" applyProtection="1">
      <protection hidden="1"/>
    </xf>
    <xf numFmtId="0" fontId="11" fillId="9" borderId="1" xfId="0" applyFont="1" applyFill="1" applyBorder="1" applyProtection="1">
      <protection locked="0"/>
    </xf>
    <xf numFmtId="0" fontId="11" fillId="7" borderId="0" xfId="0" applyFont="1" applyFill="1" applyProtection="1">
      <protection hidden="1"/>
    </xf>
    <xf numFmtId="0" fontId="11" fillId="7" borderId="9" xfId="0" applyFont="1" applyFill="1" applyBorder="1" applyProtection="1">
      <protection hidden="1"/>
    </xf>
    <xf numFmtId="0" fontId="11" fillId="7" borderId="8" xfId="0" applyFont="1" applyFill="1" applyBorder="1" applyProtection="1">
      <protection hidden="1"/>
    </xf>
    <xf numFmtId="0" fontId="9" fillId="11" borderId="23" xfId="0" applyFont="1" applyFill="1" applyBorder="1" applyAlignment="1" applyProtection="1">
      <alignment vertical="center" wrapText="1"/>
      <protection hidden="1"/>
    </xf>
    <xf numFmtId="0" fontId="9" fillId="11" borderId="23" xfId="0" applyFont="1" applyFill="1" applyBorder="1" applyAlignment="1" applyProtection="1">
      <alignment horizontal="center" vertical="center" wrapText="1"/>
      <protection hidden="1"/>
    </xf>
    <xf numFmtId="0" fontId="9" fillId="11" borderId="24" xfId="0" applyFont="1" applyFill="1" applyBorder="1" applyAlignment="1" applyProtection="1">
      <alignment vertical="center" wrapText="1"/>
      <protection hidden="1"/>
    </xf>
    <xf numFmtId="165" fontId="9" fillId="11" borderId="22" xfId="1" applyNumberFormat="1" applyFont="1" applyFill="1" applyBorder="1" applyAlignment="1" applyProtection="1">
      <alignment vertical="center" wrapText="1"/>
      <protection hidden="1"/>
    </xf>
    <xf numFmtId="166" fontId="9" fillId="11" borderId="25" xfId="1" applyNumberFormat="1" applyFont="1" applyFill="1" applyBorder="1" applyAlignment="1" applyProtection="1">
      <alignment vertical="center" wrapText="1"/>
      <protection hidden="1"/>
    </xf>
    <xf numFmtId="165" fontId="9" fillId="11" borderId="20" xfId="1" applyNumberFormat="1" applyFont="1" applyFill="1" applyBorder="1" applyAlignment="1" applyProtection="1">
      <alignment vertical="center" wrapText="1"/>
      <protection hidden="1"/>
    </xf>
    <xf numFmtId="166" fontId="9" fillId="11" borderId="26" xfId="1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vertical="center"/>
    </xf>
    <xf numFmtId="1" fontId="9" fillId="0" borderId="1" xfId="1" applyNumberFormat="1" applyFont="1" applyFill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0" fontId="11" fillId="9" borderId="1" xfId="0" applyFont="1" applyFill="1" applyBorder="1" applyAlignment="1" applyProtection="1">
      <alignment horizontal="right"/>
      <protection hidden="1"/>
    </xf>
    <xf numFmtId="2" fontId="0" fillId="0" borderId="0" xfId="1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 applyProtection="1">
      <alignment horizontal="center" vertical="center"/>
    </xf>
    <xf numFmtId="0" fontId="0" fillId="7" borderId="0" xfId="0" applyFill="1" applyProtection="1">
      <protection hidden="1"/>
    </xf>
    <xf numFmtId="0" fontId="11" fillId="7" borderId="0" xfId="0" applyFont="1" applyFill="1" applyBorder="1" applyProtection="1">
      <protection hidden="1"/>
    </xf>
    <xf numFmtId="0" fontId="12" fillId="8" borderId="5" xfId="0" applyFont="1" applyFill="1" applyBorder="1" applyAlignment="1" applyProtection="1">
      <alignment horizontal="center"/>
      <protection hidden="1"/>
    </xf>
    <xf numFmtId="0" fontId="12" fillId="8" borderId="6" xfId="0" applyFont="1" applyFill="1" applyBorder="1" applyAlignment="1" applyProtection="1">
      <alignment horizontal="center"/>
      <protection hidden="1"/>
    </xf>
    <xf numFmtId="0" fontId="12" fillId="8" borderId="7" xfId="0" applyFont="1" applyFill="1" applyBorder="1" applyAlignment="1" applyProtection="1">
      <alignment horizontal="center"/>
      <protection hidden="1"/>
    </xf>
    <xf numFmtId="0" fontId="2" fillId="7" borderId="8" xfId="0" applyFont="1" applyFill="1" applyBorder="1" applyAlignment="1" applyProtection="1">
      <alignment horizont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/>
      <protection hidden="1"/>
    </xf>
    <xf numFmtId="0" fontId="11" fillId="7" borderId="4" xfId="0" applyFont="1" applyFill="1" applyBorder="1" applyAlignment="1" applyProtection="1">
      <alignment horizontal="center"/>
      <protection hidden="1"/>
    </xf>
    <xf numFmtId="0" fontId="11" fillId="7" borderId="0" xfId="0" applyFont="1" applyFill="1" applyAlignment="1" applyProtection="1">
      <alignment horizontal="center"/>
      <protection hidden="1"/>
    </xf>
    <xf numFmtId="0" fontId="2" fillId="7" borderId="0" xfId="0" applyFont="1" applyFill="1" applyAlignment="1" applyProtection="1">
      <alignment horizontal="right"/>
      <protection hidden="1"/>
    </xf>
    <xf numFmtId="0" fontId="2" fillId="7" borderId="9" xfId="0" applyFont="1" applyFill="1" applyBorder="1" applyAlignment="1" applyProtection="1">
      <alignment horizontal="right"/>
      <protection hidden="1"/>
    </xf>
    <xf numFmtId="0" fontId="10" fillId="11" borderId="21" xfId="0" applyFont="1" applyFill="1" applyBorder="1" applyAlignment="1" applyProtection="1">
      <alignment vertical="center" wrapText="1"/>
      <protection hidden="1"/>
    </xf>
    <xf numFmtId="0" fontId="10" fillId="11" borderId="22" xfId="0" applyFont="1" applyFill="1" applyBorder="1" applyAlignment="1" applyProtection="1">
      <alignment vertical="center" wrapText="1"/>
      <protection hidden="1"/>
    </xf>
    <xf numFmtId="0" fontId="10" fillId="11" borderId="16" xfId="0" applyFont="1" applyFill="1" applyBorder="1" applyAlignment="1" applyProtection="1">
      <alignment horizontal="justify" vertical="center" wrapText="1"/>
      <protection hidden="1"/>
    </xf>
    <xf numFmtId="0" fontId="10" fillId="11" borderId="11" xfId="0" applyFont="1" applyFill="1" applyBorder="1" applyAlignment="1" applyProtection="1">
      <alignment horizontal="justify" vertical="center" wrapText="1"/>
      <protection hidden="1"/>
    </xf>
    <xf numFmtId="0" fontId="10" fillId="11" borderId="10" xfId="0" applyFont="1" applyFill="1" applyBorder="1" applyAlignment="1" applyProtection="1">
      <alignment horizontal="justify" vertical="center" wrapText="1"/>
      <protection hidden="1"/>
    </xf>
    <xf numFmtId="0" fontId="10" fillId="11" borderId="16" xfId="0" applyFont="1" applyFill="1" applyBorder="1" applyAlignment="1" applyProtection="1">
      <alignment vertical="center" wrapText="1"/>
      <protection hidden="1"/>
    </xf>
    <xf numFmtId="0" fontId="10" fillId="11" borderId="10" xfId="0" applyFont="1" applyFill="1" applyBorder="1" applyAlignment="1" applyProtection="1">
      <alignment vertical="center" wrapText="1"/>
      <protection hidden="1"/>
    </xf>
    <xf numFmtId="0" fontId="10" fillId="11" borderId="11" xfId="0" applyFont="1" applyFill="1" applyBorder="1" applyAlignment="1" applyProtection="1">
      <alignment vertical="center" wrapText="1"/>
      <protection hidden="1"/>
    </xf>
    <xf numFmtId="0" fontId="9" fillId="11" borderId="17" xfId="0" applyFont="1" applyFill="1" applyBorder="1" applyAlignment="1" applyProtection="1">
      <alignment vertical="center" wrapText="1"/>
      <protection hidden="1"/>
    </xf>
    <xf numFmtId="0" fontId="9" fillId="11" borderId="18" xfId="0" applyFont="1" applyFill="1" applyBorder="1" applyAlignment="1" applyProtection="1">
      <alignment vertical="center" wrapText="1"/>
      <protection hidden="1"/>
    </xf>
    <xf numFmtId="0" fontId="9" fillId="11" borderId="19" xfId="0" applyFont="1" applyFill="1" applyBorder="1" applyAlignment="1" applyProtection="1">
      <alignment vertical="center" wrapText="1"/>
      <protection hidden="1"/>
    </xf>
    <xf numFmtId="0" fontId="9" fillId="11" borderId="29" xfId="0" applyFont="1" applyFill="1" applyBorder="1" applyAlignment="1" applyProtection="1">
      <alignment vertical="center" wrapText="1"/>
      <protection hidden="1"/>
    </xf>
    <xf numFmtId="0" fontId="9" fillId="11" borderId="27" xfId="0" applyFont="1" applyFill="1" applyBorder="1" applyAlignment="1" applyProtection="1">
      <alignment vertical="center" wrapText="1"/>
      <protection hidden="1"/>
    </xf>
    <xf numFmtId="0" fontId="9" fillId="11" borderId="28" xfId="0" applyFont="1" applyFill="1" applyBorder="1" applyAlignment="1" applyProtection="1">
      <alignment vertical="center" wrapText="1"/>
      <protection hidden="1"/>
    </xf>
    <xf numFmtId="9" fontId="9" fillId="11" borderId="20" xfId="0" applyNumberFormat="1" applyFont="1" applyFill="1" applyBorder="1" applyAlignment="1" applyProtection="1">
      <alignment horizontal="center" vertical="center" wrapText="1"/>
      <protection hidden="1"/>
    </xf>
    <xf numFmtId="166" fontId="9" fillId="11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11" borderId="20" xfId="2" applyFont="1" applyFill="1" applyBorder="1" applyAlignment="1" applyProtection="1">
      <alignment horizontal="center" vertical="center" wrapText="1"/>
      <protection hidden="1"/>
    </xf>
    <xf numFmtId="0" fontId="9" fillId="11" borderId="17" xfId="0" applyFont="1" applyFill="1" applyBorder="1" applyAlignment="1" applyProtection="1">
      <alignment horizontal="left" vertical="center" wrapText="1"/>
      <protection hidden="1"/>
    </xf>
    <xf numFmtId="0" fontId="9" fillId="11" borderId="18" xfId="0" applyFont="1" applyFill="1" applyBorder="1" applyAlignment="1" applyProtection="1">
      <alignment horizontal="left" vertical="center" wrapText="1"/>
      <protection hidden="1"/>
    </xf>
    <xf numFmtId="0" fontId="9" fillId="11" borderId="19" xfId="0" applyFont="1" applyFill="1" applyBorder="1" applyAlignment="1" applyProtection="1">
      <alignment horizontal="left" vertical="center" wrapText="1"/>
      <protection hidden="1"/>
    </xf>
    <xf numFmtId="0" fontId="9" fillId="11" borderId="3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E491-8506-4640-BB5D-099C25226927}">
  <sheetPr codeName="Sheet1"/>
  <dimension ref="A1:K16"/>
  <sheetViews>
    <sheetView tabSelected="1" workbookViewId="0">
      <selection activeCell="D4" sqref="D4"/>
    </sheetView>
  </sheetViews>
  <sheetFormatPr defaultRowHeight="15" x14ac:dyDescent="0.25"/>
  <cols>
    <col min="1" max="1" width="15.140625" style="111" customWidth="1"/>
    <col min="2" max="2" width="20.140625" style="111" customWidth="1"/>
    <col min="3" max="3" width="19.140625" style="111" customWidth="1"/>
    <col min="4" max="4" width="13.42578125" style="111" customWidth="1"/>
    <col min="5" max="5" width="13.28515625" style="111" customWidth="1"/>
    <col min="6" max="6" width="14.85546875" style="111" customWidth="1"/>
    <col min="7" max="7" width="14.7109375" style="111" customWidth="1"/>
    <col min="8" max="8" width="32.5703125" style="111" customWidth="1"/>
    <col min="9" max="9" width="15" style="111" customWidth="1"/>
    <col min="10" max="10" width="15.140625" style="111" customWidth="1"/>
    <col min="11" max="11" width="13.42578125" style="111" customWidth="1"/>
    <col min="12" max="16384" width="9.140625" style="111"/>
  </cols>
  <sheetData>
    <row r="1" spans="1:11" ht="15.75" x14ac:dyDescent="0.25">
      <c r="A1" s="113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ht="15.75" x14ac:dyDescent="0.25">
      <c r="A2" s="116" t="s">
        <v>88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5.75" x14ac:dyDescent="0.25">
      <c r="A3" s="89" t="s">
        <v>6</v>
      </c>
      <c r="B3" s="90">
        <v>300000</v>
      </c>
      <c r="C3" s="89" t="s">
        <v>77</v>
      </c>
      <c r="D3" s="108" t="s">
        <v>0</v>
      </c>
      <c r="E3" s="101"/>
      <c r="F3" s="112"/>
      <c r="G3" s="91"/>
      <c r="H3" s="91"/>
      <c r="I3" s="91"/>
      <c r="J3" s="91"/>
      <c r="K3" s="92"/>
    </row>
    <row r="4" spans="1:11" ht="15.75" x14ac:dyDescent="0.25">
      <c r="A4" s="89" t="s">
        <v>89</v>
      </c>
      <c r="B4" s="90">
        <v>65</v>
      </c>
      <c r="C4" s="89" t="s">
        <v>90</v>
      </c>
      <c r="D4" s="90">
        <v>55</v>
      </c>
      <c r="E4" s="91"/>
      <c r="F4" s="91"/>
      <c r="G4" s="91"/>
      <c r="H4" s="91"/>
      <c r="I4" s="91"/>
      <c r="J4" s="91"/>
      <c r="K4" s="92"/>
    </row>
    <row r="5" spans="1:11" ht="15.75" x14ac:dyDescent="0.25">
      <c r="A5" s="89" t="s">
        <v>91</v>
      </c>
      <c r="B5" s="90">
        <v>25</v>
      </c>
      <c r="C5" s="89" t="s">
        <v>92</v>
      </c>
      <c r="D5" s="90">
        <v>10</v>
      </c>
      <c r="E5" s="91"/>
      <c r="F5" s="91"/>
      <c r="G5" s="91"/>
      <c r="H5" s="91"/>
      <c r="I5" s="91"/>
      <c r="J5" s="91"/>
      <c r="K5" s="92"/>
    </row>
    <row r="6" spans="1:11" ht="15.75" x14ac:dyDescent="0.25">
      <c r="A6" s="87" t="s">
        <v>93</v>
      </c>
      <c r="B6" s="88" t="s">
        <v>105</v>
      </c>
      <c r="C6" s="119"/>
      <c r="D6" s="120"/>
      <c r="E6" s="120"/>
      <c r="F6" s="120"/>
      <c r="G6" s="120"/>
      <c r="H6" s="120"/>
      <c r="I6" s="121" t="s">
        <v>87</v>
      </c>
      <c r="J6" s="121"/>
      <c r="K6" s="122"/>
    </row>
    <row r="7" spans="1:11" ht="8.25" customHeight="1" thickBot="1" x14ac:dyDescent="0.3">
      <c r="A7" s="93"/>
      <c r="B7" s="91"/>
      <c r="C7" s="91"/>
      <c r="D7" s="91"/>
      <c r="E7" s="91"/>
      <c r="F7" s="91"/>
      <c r="G7" s="91"/>
      <c r="H7" s="91"/>
      <c r="I7" s="91"/>
      <c r="J7" s="91"/>
      <c r="K7" s="92"/>
    </row>
    <row r="8" spans="1:11" ht="63.75" customHeight="1" thickBot="1" x14ac:dyDescent="0.3">
      <c r="A8" s="123" t="s">
        <v>94</v>
      </c>
      <c r="B8" s="125" t="s">
        <v>95</v>
      </c>
      <c r="C8" s="126"/>
      <c r="D8" s="125" t="s">
        <v>96</v>
      </c>
      <c r="E8" s="127"/>
      <c r="F8" s="127"/>
      <c r="G8" s="126"/>
      <c r="H8" s="128" t="s">
        <v>97</v>
      </c>
      <c r="I8" s="129"/>
      <c r="J8" s="129"/>
      <c r="K8" s="130"/>
    </row>
    <row r="9" spans="1:11" ht="48" thickBot="1" x14ac:dyDescent="0.3">
      <c r="A9" s="124"/>
      <c r="B9" s="94" t="s">
        <v>98</v>
      </c>
      <c r="C9" s="94" t="s">
        <v>99</v>
      </c>
      <c r="D9" s="94" t="s">
        <v>98</v>
      </c>
      <c r="E9" s="95" t="s">
        <v>100</v>
      </c>
      <c r="F9" s="94" t="s">
        <v>101</v>
      </c>
      <c r="G9" s="94" t="s">
        <v>99</v>
      </c>
      <c r="H9" s="94" t="s">
        <v>102</v>
      </c>
      <c r="I9" s="94" t="s">
        <v>103</v>
      </c>
      <c r="J9" s="94" t="s">
        <v>101</v>
      </c>
      <c r="K9" s="96" t="s">
        <v>33</v>
      </c>
    </row>
    <row r="10" spans="1:11" ht="16.5" thickBot="1" x14ac:dyDescent="0.3">
      <c r="A10" s="97">
        <f>IF(B4="",0,B4)</f>
        <v>65</v>
      </c>
      <c r="B10" s="98">
        <f>Master!X4</f>
        <v>23947</v>
      </c>
      <c r="C10" s="98">
        <f>IF(B4="",0,$B$3)</f>
        <v>300000</v>
      </c>
      <c r="D10" s="98">
        <f>Master!X4</f>
        <v>23947</v>
      </c>
      <c r="E10" s="137">
        <v>0</v>
      </c>
      <c r="F10" s="98">
        <f>Master!X4</f>
        <v>23947</v>
      </c>
      <c r="G10" s="98">
        <f>IF(B4="",0,$B$3)</f>
        <v>300000</v>
      </c>
      <c r="H10" s="138">
        <f>IF(Master!S4="Available floater combinations - 1A1C, 1A2C, 1A3C, 2A, 2A1C, 2A2C or 2A3C","Available floater combinations - 1A1C, 1A2C, 1A3C, 2A, 2A1C, 2A2C or 2A3C",Master!W10)</f>
        <v>41402</v>
      </c>
      <c r="I10" s="139">
        <f>Master!Y23</f>
        <v>0.4</v>
      </c>
      <c r="J10" s="138">
        <f>IF(Master!S4="Available floater combinations - 1A1C, 1A2C, 1A3C, 2A, 2A1C, 2A2C or 2A3C",0,ROUND(Master!X10,0))</f>
        <v>24841</v>
      </c>
      <c r="K10" s="138">
        <f>IF(Master!S4="Available floater combinations - 1A1C, 1A2C, 1A3C, 2A, 2A1C, 2A2C or 2A3C",0,B3)</f>
        <v>300000</v>
      </c>
    </row>
    <row r="11" spans="1:11" ht="16.5" thickBot="1" x14ac:dyDescent="0.3">
      <c r="A11" s="97">
        <f>IF(D4="",0,D4)</f>
        <v>55</v>
      </c>
      <c r="B11" s="98">
        <f>Master!X5</f>
        <v>10600</v>
      </c>
      <c r="C11" s="98">
        <f>IF(D4="",0,$B$3)</f>
        <v>300000</v>
      </c>
      <c r="D11" s="98">
        <f>Master!X5</f>
        <v>10600</v>
      </c>
      <c r="E11" s="137"/>
      <c r="F11" s="98">
        <f>Master!X5</f>
        <v>10600</v>
      </c>
      <c r="G11" s="98">
        <f>IF(D4="",0,$B$3)</f>
        <v>300000</v>
      </c>
      <c r="H11" s="138"/>
      <c r="I11" s="139"/>
      <c r="J11" s="138"/>
      <c r="K11" s="138"/>
    </row>
    <row r="12" spans="1:11" ht="16.5" thickBot="1" x14ac:dyDescent="0.3">
      <c r="A12" s="97">
        <f>IF(B5="",0,B5)</f>
        <v>25</v>
      </c>
      <c r="B12" s="98">
        <f>Master!X6</f>
        <v>2285</v>
      </c>
      <c r="C12" s="98">
        <f>IF(B5="",0,$B$3)</f>
        <v>300000</v>
      </c>
      <c r="D12" s="98">
        <f>Master!X6</f>
        <v>2285</v>
      </c>
      <c r="E12" s="137"/>
      <c r="F12" s="98">
        <f>Master!X6</f>
        <v>2285</v>
      </c>
      <c r="G12" s="98">
        <f>IF(B5="",0,$B$3)</f>
        <v>300000</v>
      </c>
      <c r="H12" s="138"/>
      <c r="I12" s="139"/>
      <c r="J12" s="138"/>
      <c r="K12" s="138"/>
    </row>
    <row r="13" spans="1:11" ht="16.5" thickBot="1" x14ac:dyDescent="0.3">
      <c r="A13" s="97">
        <f>IF(D5="",0,D5)</f>
        <v>10</v>
      </c>
      <c r="B13" s="98">
        <f>Master!X7</f>
        <v>2285</v>
      </c>
      <c r="C13" s="98">
        <f>IF(D5="",0,$B$3)</f>
        <v>300000</v>
      </c>
      <c r="D13" s="98">
        <f>Master!X7</f>
        <v>2285</v>
      </c>
      <c r="E13" s="137"/>
      <c r="F13" s="98">
        <f>Master!X7</f>
        <v>2285</v>
      </c>
      <c r="G13" s="98">
        <f>IF(D5="",0,$B$3)</f>
        <v>300000</v>
      </c>
      <c r="H13" s="138"/>
      <c r="I13" s="139"/>
      <c r="J13" s="138"/>
      <c r="K13" s="138"/>
    </row>
    <row r="14" spans="1:11" ht="16.5" thickBot="1" x14ac:dyDescent="0.3">
      <c r="A14" s="99" t="str">
        <f>IF(B6="",0,B6)</f>
        <v>3-11 Months</v>
      </c>
      <c r="B14" s="100">
        <f>Master!X8</f>
        <v>2285</v>
      </c>
      <c r="C14" s="100">
        <f>IF(B6="",0,$B$3)</f>
        <v>300000</v>
      </c>
      <c r="D14" s="100">
        <f>Master!X8</f>
        <v>2285</v>
      </c>
      <c r="E14" s="137"/>
      <c r="F14" s="100">
        <f>Master!X8</f>
        <v>2285</v>
      </c>
      <c r="G14" s="100">
        <f>IF(B6="",0,$B$3)</f>
        <v>300000</v>
      </c>
      <c r="H14" s="138"/>
      <c r="I14" s="139"/>
      <c r="J14" s="138"/>
      <c r="K14" s="138"/>
    </row>
    <row r="15" spans="1:11" ht="16.5" thickBot="1" x14ac:dyDescent="0.3">
      <c r="A15" s="140" t="str">
        <f>Master!AA4</f>
        <v>Total Premium for all members of the family is, Rs 41402 (excluding GST) when each member is covered separately.</v>
      </c>
      <c r="B15" s="141"/>
      <c r="C15" s="142"/>
      <c r="D15" s="140" t="str">
        <f>Master!AB4</f>
        <v>Total Premium for all members of the family is, Rs 41402 (excluding GST)  when they are covered under a single policy</v>
      </c>
      <c r="E15" s="141"/>
      <c r="F15" s="141"/>
      <c r="G15" s="142"/>
      <c r="H15" s="143" t="str">
        <f>Master!AC4</f>
        <v>Total Premium when policy is opted on floater basis is, Rs 24841 excluding GST</v>
      </c>
      <c r="I15" s="141"/>
      <c r="J15" s="141"/>
      <c r="K15" s="142"/>
    </row>
    <row r="16" spans="1:11" ht="16.5" thickBot="1" x14ac:dyDescent="0.3">
      <c r="A16" s="131" t="str">
        <f>Master!AA5</f>
        <v>Sum insured available for each individual is Rs. 300000</v>
      </c>
      <c r="B16" s="132"/>
      <c r="C16" s="133"/>
      <c r="D16" s="131" t="str">
        <f>Master!AB5</f>
        <v>Sum insured available for each family member is Rs. 300000</v>
      </c>
      <c r="E16" s="132"/>
      <c r="F16" s="132"/>
      <c r="G16" s="133"/>
      <c r="H16" s="134" t="str">
        <f>Master!AC5</f>
        <v>Sum insured of Rs. 300000 is available for the entire family.</v>
      </c>
      <c r="I16" s="135"/>
      <c r="J16" s="135"/>
      <c r="K16" s="136"/>
    </row>
  </sheetData>
  <sheetProtection algorithmName="SHA-512" hashValue="ivJa71PlCYGvp2VASwd2j0rFAx/O8P97BFYgRFL2ziQDDjrpf0fSSOmBybXscFX3CVaZRxsjkFf0aU4mgZWU6g==" saltValue="TnGoFpFeDtE0IvQQbNZMVA==" spinCount="100000" sheet="1" objects="1" scenarios="1"/>
  <mergeCells count="19">
    <mergeCell ref="A16:C16"/>
    <mergeCell ref="D16:G16"/>
    <mergeCell ref="H16:K16"/>
    <mergeCell ref="E10:E14"/>
    <mergeCell ref="H10:H14"/>
    <mergeCell ref="I10:I14"/>
    <mergeCell ref="J10:J14"/>
    <mergeCell ref="K10:K14"/>
    <mergeCell ref="A15:C15"/>
    <mergeCell ref="D15:G15"/>
    <mergeCell ref="H15:K15"/>
    <mergeCell ref="A1:K1"/>
    <mergeCell ref="A2:K2"/>
    <mergeCell ref="C6:H6"/>
    <mergeCell ref="I6:K6"/>
    <mergeCell ref="A8:A9"/>
    <mergeCell ref="B8:C8"/>
    <mergeCell ref="D8:G8"/>
    <mergeCell ref="H8:K8"/>
  </mergeCells>
  <conditionalFormatting sqref="H10:H14">
    <cfRule type="cellIs" dxfId="2" priority="3" operator="equal">
      <formula>"Available floater combinations - 1A1C, 1A2C, 1A3C, 2A, 2A1C, 2A2C or 2A3C"</formula>
    </cfRule>
  </conditionalFormatting>
  <conditionalFormatting sqref="C6">
    <cfRule type="cellIs" dxfId="1" priority="2" operator="equal">
      <formula>"Plan &amp; Sum Insured Mismatch! Select available amount from Sum Insured dropdown"</formula>
    </cfRule>
  </conditionalFormatting>
  <conditionalFormatting sqref="H9">
    <cfRule type="cellIs" dxfId="0" priority="1" operator="equal">
      <formula>"Available floater combinations - 1A1C, 1A2C, 1A3C, 2A, 2A1C, 2A2C or 2A3C"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6CFAAEE-0910-4A4B-B5DD-F0E83EE2A7A2}">
          <x14:formula1>
            <xm:f>'Drop down lists'!$A$2:$A$21</xm:f>
          </x14:formula1>
          <xm:sqref>B3</xm:sqref>
        </x14:dataValidation>
        <x14:dataValidation type="list" allowBlank="1" showInputMessage="1" showErrorMessage="1" xr:uid="{52E087BE-09E4-4F68-B05A-C5C66F3C4633}">
          <x14:formula1>
            <xm:f>'Drop down lists'!$N$20:$N$67</xm:f>
          </x14:formula1>
          <xm:sqref>B4 D4</xm:sqref>
        </x14:dataValidation>
        <x14:dataValidation type="list" allowBlank="1" showInputMessage="1" showErrorMessage="1" xr:uid="{5BAD2653-6E9F-417E-A978-48520C0A8B65}">
          <x14:formula1>
            <xm:f>'Drop down lists'!$N$2:$N$27</xm:f>
          </x14:formula1>
          <xm:sqref>B5:B6 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67"/>
  <sheetViews>
    <sheetView topLeftCell="A9" workbookViewId="0">
      <selection activeCell="N1" sqref="N1"/>
    </sheetView>
  </sheetViews>
  <sheetFormatPr defaultRowHeight="15" x14ac:dyDescent="0.25"/>
  <cols>
    <col min="1" max="1" width="12" bestFit="1" customWidth="1"/>
    <col min="3" max="3" width="14.5703125" bestFit="1" customWidth="1"/>
    <col min="4" max="4" width="15.5703125" bestFit="1" customWidth="1"/>
    <col min="5" max="5" width="16.42578125" bestFit="1" customWidth="1"/>
  </cols>
  <sheetData>
    <row r="1" spans="1:14" x14ac:dyDescent="0.25">
      <c r="A1" t="s">
        <v>6</v>
      </c>
      <c r="B1" t="s">
        <v>58</v>
      </c>
      <c r="C1" t="s">
        <v>2</v>
      </c>
      <c r="D1" t="s">
        <v>73</v>
      </c>
      <c r="E1" t="s">
        <v>74</v>
      </c>
      <c r="I1" t="s">
        <v>40</v>
      </c>
      <c r="J1" t="s">
        <v>40</v>
      </c>
      <c r="K1" t="s">
        <v>79</v>
      </c>
      <c r="L1" t="s">
        <v>83</v>
      </c>
      <c r="M1" t="s">
        <v>78</v>
      </c>
      <c r="N1" t="s">
        <v>5</v>
      </c>
    </row>
    <row r="2" spans="1:14" x14ac:dyDescent="0.25">
      <c r="A2">
        <v>50000</v>
      </c>
      <c r="B2">
        <v>1</v>
      </c>
      <c r="C2">
        <v>0</v>
      </c>
      <c r="I2" s="17">
        <v>0</v>
      </c>
      <c r="J2" t="s">
        <v>22</v>
      </c>
      <c r="K2" t="s">
        <v>80</v>
      </c>
      <c r="M2" t="s">
        <v>81</v>
      </c>
      <c r="N2" t="s">
        <v>105</v>
      </c>
    </row>
    <row r="3" spans="1:14" x14ac:dyDescent="0.25">
      <c r="A3" s="73">
        <v>100000</v>
      </c>
      <c r="B3">
        <v>2</v>
      </c>
      <c r="C3">
        <v>1</v>
      </c>
      <c r="D3" t="s">
        <v>59</v>
      </c>
      <c r="E3" t="s">
        <v>59</v>
      </c>
      <c r="G3" t="s">
        <v>59</v>
      </c>
      <c r="I3" s="17">
        <v>0.05</v>
      </c>
      <c r="M3" t="s">
        <v>84</v>
      </c>
      <c r="N3">
        <v>1</v>
      </c>
    </row>
    <row r="4" spans="1:14" x14ac:dyDescent="0.25">
      <c r="A4" s="73">
        <v>150000</v>
      </c>
      <c r="B4">
        <v>3</v>
      </c>
      <c r="C4">
        <v>2</v>
      </c>
      <c r="D4" t="s">
        <v>60</v>
      </c>
      <c r="E4" t="s">
        <v>60</v>
      </c>
      <c r="G4" t="s">
        <v>60</v>
      </c>
      <c r="I4" s="17">
        <v>0.1</v>
      </c>
      <c r="M4" t="s">
        <v>82</v>
      </c>
      <c r="N4">
        <v>2</v>
      </c>
    </row>
    <row r="5" spans="1:14" x14ac:dyDescent="0.25">
      <c r="A5" s="73">
        <v>200000</v>
      </c>
      <c r="B5">
        <v>4</v>
      </c>
      <c r="C5">
        <v>3</v>
      </c>
      <c r="D5" t="s">
        <v>61</v>
      </c>
      <c r="E5" t="s">
        <v>61</v>
      </c>
      <c r="G5" t="s">
        <v>63</v>
      </c>
      <c r="I5" s="17">
        <v>0.15</v>
      </c>
      <c r="M5" t="s">
        <v>85</v>
      </c>
      <c r="N5">
        <v>3</v>
      </c>
    </row>
    <row r="6" spans="1:14" x14ac:dyDescent="0.25">
      <c r="A6" s="73">
        <v>250000</v>
      </c>
      <c r="B6">
        <v>5</v>
      </c>
      <c r="C6">
        <v>4</v>
      </c>
      <c r="D6" t="s">
        <v>62</v>
      </c>
      <c r="E6" t="s">
        <v>62</v>
      </c>
      <c r="G6" t="s">
        <v>64</v>
      </c>
      <c r="I6" s="17">
        <v>0.2</v>
      </c>
      <c r="M6" t="s">
        <v>86</v>
      </c>
      <c r="N6">
        <v>4</v>
      </c>
    </row>
    <row r="7" spans="1:14" x14ac:dyDescent="0.25">
      <c r="A7" s="73">
        <v>300000</v>
      </c>
      <c r="D7" t="s">
        <v>64</v>
      </c>
      <c r="E7" t="s">
        <v>63</v>
      </c>
      <c r="G7" t="s">
        <v>65</v>
      </c>
      <c r="I7" s="17">
        <v>0.25</v>
      </c>
      <c r="N7">
        <v>5</v>
      </c>
    </row>
    <row r="8" spans="1:14" x14ac:dyDescent="0.25">
      <c r="A8" s="73">
        <v>350000</v>
      </c>
      <c r="D8" t="s">
        <v>63</v>
      </c>
      <c r="E8" t="s">
        <v>64</v>
      </c>
      <c r="G8" t="s">
        <v>66</v>
      </c>
      <c r="I8" s="17">
        <v>0.3</v>
      </c>
      <c r="N8">
        <v>6</v>
      </c>
    </row>
    <row r="9" spans="1:14" x14ac:dyDescent="0.25">
      <c r="A9" s="73">
        <v>400000</v>
      </c>
      <c r="D9" t="s">
        <v>68</v>
      </c>
      <c r="E9" t="s">
        <v>67</v>
      </c>
      <c r="G9" t="s">
        <v>67</v>
      </c>
      <c r="I9" s="17">
        <v>0.35</v>
      </c>
      <c r="N9">
        <v>7</v>
      </c>
    </row>
    <row r="10" spans="1:14" x14ac:dyDescent="0.25">
      <c r="A10" s="74">
        <v>450000</v>
      </c>
      <c r="D10" t="s">
        <v>67</v>
      </c>
      <c r="E10" t="s">
        <v>68</v>
      </c>
      <c r="G10" t="s">
        <v>68</v>
      </c>
      <c r="I10" s="17">
        <v>0.4</v>
      </c>
      <c r="N10">
        <v>8</v>
      </c>
    </row>
    <row r="11" spans="1:14" x14ac:dyDescent="0.25">
      <c r="A11" s="73">
        <v>500000</v>
      </c>
      <c r="G11" t="s">
        <v>69</v>
      </c>
      <c r="I11" s="17">
        <v>0.45</v>
      </c>
      <c r="N11">
        <v>9</v>
      </c>
    </row>
    <row r="12" spans="1:14" x14ac:dyDescent="0.25">
      <c r="A12">
        <v>550000</v>
      </c>
      <c r="G12" t="s">
        <v>70</v>
      </c>
      <c r="I12" s="17">
        <v>0.5</v>
      </c>
      <c r="N12">
        <v>10</v>
      </c>
    </row>
    <row r="13" spans="1:14" x14ac:dyDescent="0.25">
      <c r="A13" s="73">
        <v>600000</v>
      </c>
      <c r="G13" t="s">
        <v>71</v>
      </c>
      <c r="I13" s="17">
        <v>0.6</v>
      </c>
      <c r="N13">
        <v>11</v>
      </c>
    </row>
    <row r="14" spans="1:14" x14ac:dyDescent="0.25">
      <c r="A14" s="73">
        <v>650000</v>
      </c>
      <c r="G14" t="s">
        <v>72</v>
      </c>
      <c r="I14" s="17">
        <v>0.7</v>
      </c>
      <c r="N14">
        <v>12</v>
      </c>
    </row>
    <row r="15" spans="1:14" x14ac:dyDescent="0.25">
      <c r="A15" s="73">
        <v>700000</v>
      </c>
      <c r="I15" s="17">
        <v>0.8</v>
      </c>
      <c r="N15">
        <v>13</v>
      </c>
    </row>
    <row r="16" spans="1:14" x14ac:dyDescent="0.25">
      <c r="A16" s="73">
        <v>750000</v>
      </c>
      <c r="I16" s="17">
        <v>0.9</v>
      </c>
      <c r="N16">
        <v>14</v>
      </c>
    </row>
    <row r="17" spans="1:14" x14ac:dyDescent="0.25">
      <c r="A17" s="73">
        <v>800000</v>
      </c>
      <c r="I17" s="17">
        <v>1</v>
      </c>
      <c r="N17">
        <v>15</v>
      </c>
    </row>
    <row r="18" spans="1:14" x14ac:dyDescent="0.25">
      <c r="A18" s="73">
        <v>850000</v>
      </c>
      <c r="N18">
        <v>16</v>
      </c>
    </row>
    <row r="19" spans="1:14" x14ac:dyDescent="0.25">
      <c r="A19" s="73">
        <v>900000</v>
      </c>
      <c r="N19">
        <v>17</v>
      </c>
    </row>
    <row r="20" spans="1:14" x14ac:dyDescent="0.25">
      <c r="A20" s="74">
        <v>950000</v>
      </c>
      <c r="N20">
        <v>18</v>
      </c>
    </row>
    <row r="21" spans="1:14" x14ac:dyDescent="0.25">
      <c r="A21" s="73">
        <v>1000000</v>
      </c>
      <c r="N21">
        <v>19</v>
      </c>
    </row>
    <row r="22" spans="1:14" x14ac:dyDescent="0.25">
      <c r="N22">
        <v>20</v>
      </c>
    </row>
    <row r="23" spans="1:14" x14ac:dyDescent="0.25">
      <c r="N23">
        <v>21</v>
      </c>
    </row>
    <row r="24" spans="1:14" x14ac:dyDescent="0.25">
      <c r="N24">
        <v>22</v>
      </c>
    </row>
    <row r="25" spans="1:14" x14ac:dyDescent="0.25">
      <c r="N25">
        <v>23</v>
      </c>
    </row>
    <row r="26" spans="1:14" x14ac:dyDescent="0.25">
      <c r="N26">
        <v>24</v>
      </c>
    </row>
    <row r="27" spans="1:14" x14ac:dyDescent="0.25">
      <c r="N27">
        <v>25</v>
      </c>
    </row>
    <row r="28" spans="1:14" x14ac:dyDescent="0.25">
      <c r="N28">
        <v>26</v>
      </c>
    </row>
    <row r="29" spans="1:14" x14ac:dyDescent="0.25">
      <c r="N29">
        <v>27</v>
      </c>
    </row>
    <row r="30" spans="1:14" x14ac:dyDescent="0.25">
      <c r="N30">
        <v>28</v>
      </c>
    </row>
    <row r="31" spans="1:14" x14ac:dyDescent="0.25">
      <c r="N31">
        <v>29</v>
      </c>
    </row>
    <row r="32" spans="1:14" x14ac:dyDescent="0.25">
      <c r="N32">
        <v>30</v>
      </c>
    </row>
    <row r="33" spans="14:14" x14ac:dyDescent="0.25">
      <c r="N33">
        <v>31</v>
      </c>
    </row>
    <row r="34" spans="14:14" x14ac:dyDescent="0.25">
      <c r="N34">
        <v>32</v>
      </c>
    </row>
    <row r="35" spans="14:14" x14ac:dyDescent="0.25">
      <c r="N35">
        <v>33</v>
      </c>
    </row>
    <row r="36" spans="14:14" x14ac:dyDescent="0.25">
      <c r="N36">
        <v>34</v>
      </c>
    </row>
    <row r="37" spans="14:14" x14ac:dyDescent="0.25">
      <c r="N37">
        <v>35</v>
      </c>
    </row>
    <row r="38" spans="14:14" x14ac:dyDescent="0.25">
      <c r="N38">
        <v>36</v>
      </c>
    </row>
    <row r="39" spans="14:14" x14ac:dyDescent="0.25">
      <c r="N39">
        <v>37</v>
      </c>
    </row>
    <row r="40" spans="14:14" x14ac:dyDescent="0.25">
      <c r="N40">
        <v>38</v>
      </c>
    </row>
    <row r="41" spans="14:14" x14ac:dyDescent="0.25">
      <c r="N41">
        <v>39</v>
      </c>
    </row>
    <row r="42" spans="14:14" x14ac:dyDescent="0.25">
      <c r="N42">
        <v>40</v>
      </c>
    </row>
    <row r="43" spans="14:14" x14ac:dyDescent="0.25">
      <c r="N43">
        <v>41</v>
      </c>
    </row>
    <row r="44" spans="14:14" x14ac:dyDescent="0.25">
      <c r="N44">
        <v>42</v>
      </c>
    </row>
    <row r="45" spans="14:14" x14ac:dyDescent="0.25">
      <c r="N45">
        <v>43</v>
      </c>
    </row>
    <row r="46" spans="14:14" x14ac:dyDescent="0.25">
      <c r="N46">
        <v>44</v>
      </c>
    </row>
    <row r="47" spans="14:14" x14ac:dyDescent="0.25">
      <c r="N47">
        <v>45</v>
      </c>
    </row>
    <row r="48" spans="14:14" x14ac:dyDescent="0.25">
      <c r="N48">
        <v>46</v>
      </c>
    </row>
    <row r="49" spans="14:14" x14ac:dyDescent="0.25">
      <c r="N49">
        <v>47</v>
      </c>
    </row>
    <row r="50" spans="14:14" x14ac:dyDescent="0.25">
      <c r="N50">
        <v>48</v>
      </c>
    </row>
    <row r="51" spans="14:14" x14ac:dyDescent="0.25">
      <c r="N51">
        <v>49</v>
      </c>
    </row>
    <row r="52" spans="14:14" x14ac:dyDescent="0.25">
      <c r="N52">
        <v>50</v>
      </c>
    </row>
    <row r="53" spans="14:14" x14ac:dyDescent="0.25">
      <c r="N53">
        <v>51</v>
      </c>
    </row>
    <row r="54" spans="14:14" x14ac:dyDescent="0.25">
      <c r="N54">
        <v>52</v>
      </c>
    </row>
    <row r="55" spans="14:14" x14ac:dyDescent="0.25">
      <c r="N55">
        <v>53</v>
      </c>
    </row>
    <row r="56" spans="14:14" x14ac:dyDescent="0.25">
      <c r="N56">
        <v>54</v>
      </c>
    </row>
    <row r="57" spans="14:14" x14ac:dyDescent="0.25">
      <c r="N57">
        <v>55</v>
      </c>
    </row>
    <row r="58" spans="14:14" x14ac:dyDescent="0.25">
      <c r="N58">
        <v>56</v>
      </c>
    </row>
    <row r="59" spans="14:14" x14ac:dyDescent="0.25">
      <c r="N59">
        <v>57</v>
      </c>
    </row>
    <row r="60" spans="14:14" x14ac:dyDescent="0.25">
      <c r="N60">
        <v>58</v>
      </c>
    </row>
    <row r="61" spans="14:14" x14ac:dyDescent="0.25">
      <c r="N61">
        <v>59</v>
      </c>
    </row>
    <row r="62" spans="14:14" x14ac:dyDescent="0.25">
      <c r="N62">
        <v>60</v>
      </c>
    </row>
    <row r="63" spans="14:14" x14ac:dyDescent="0.25">
      <c r="N63">
        <v>61</v>
      </c>
    </row>
    <row r="64" spans="14:14" x14ac:dyDescent="0.25">
      <c r="N64">
        <v>62</v>
      </c>
    </row>
    <row r="65" spans="14:14" x14ac:dyDescent="0.25">
      <c r="N65">
        <v>63</v>
      </c>
    </row>
    <row r="66" spans="14:14" x14ac:dyDescent="0.25">
      <c r="N66">
        <v>64</v>
      </c>
    </row>
    <row r="67" spans="14:14" x14ac:dyDescent="0.25">
      <c r="N67">
        <v>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AJ108"/>
  <sheetViews>
    <sheetView topLeftCell="N1" zoomScaleNormal="100" workbookViewId="0">
      <selection activeCell="Y1" sqref="Y1"/>
    </sheetView>
  </sheetViews>
  <sheetFormatPr defaultRowHeight="15" x14ac:dyDescent="0.25"/>
  <cols>
    <col min="1" max="1" width="11.85546875" style="1" customWidth="1"/>
    <col min="2" max="5" width="7.5703125" style="1" customWidth="1"/>
    <col min="6" max="11" width="11.5703125" style="1" bestFit="1" customWidth="1"/>
    <col min="12" max="12" width="13.42578125" style="1" bestFit="1" customWidth="1"/>
    <col min="13" max="13" width="24.42578125" style="1" bestFit="1" customWidth="1"/>
    <col min="14" max="14" width="17.140625" style="1" bestFit="1" customWidth="1"/>
    <col min="15" max="16" width="17.7109375" style="1" bestFit="1" customWidth="1"/>
    <col min="17" max="19" width="16.140625" style="1" bestFit="1" customWidth="1"/>
    <col min="20" max="20" width="11.28515625" style="1" customWidth="1"/>
    <col min="21" max="21" width="16.140625" style="1" bestFit="1" customWidth="1"/>
    <col min="22" max="22" width="17.85546875" style="1" bestFit="1" customWidth="1"/>
    <col min="23" max="23" width="11.140625" style="1" bestFit="1" customWidth="1"/>
    <col min="24" max="24" width="12.7109375" style="1" customWidth="1"/>
    <col min="25" max="25" width="12" style="1" customWidth="1"/>
    <col min="26" max="29" width="15.28515625" style="1" customWidth="1"/>
    <col min="30" max="30" width="15.140625" style="1" bestFit="1" customWidth="1"/>
    <col min="31" max="32" width="10" style="1" bestFit="1" customWidth="1"/>
    <col min="33" max="33" width="27.140625" style="1" bestFit="1" customWidth="1"/>
    <col min="34" max="34" width="10" style="1" bestFit="1" customWidth="1"/>
    <col min="35" max="35" width="14" style="1" bestFit="1" customWidth="1"/>
    <col min="36" max="16384" width="9.140625" style="1"/>
  </cols>
  <sheetData>
    <row r="2" spans="1:36" x14ac:dyDescent="0.25">
      <c r="A2" s="16"/>
      <c r="R2" s="16" t="s">
        <v>19</v>
      </c>
      <c r="AD2" s="72"/>
      <c r="AE2" s="72"/>
      <c r="AF2" s="72"/>
      <c r="AG2" s="72"/>
      <c r="AH2" s="72"/>
      <c r="AI2" s="72"/>
    </row>
    <row r="3" spans="1:36" ht="30" x14ac:dyDescent="0.25">
      <c r="A3" s="102" t="s">
        <v>8</v>
      </c>
      <c r="B3" s="102" t="s">
        <v>9</v>
      </c>
      <c r="C3" s="102" t="s">
        <v>10</v>
      </c>
      <c r="D3" s="102" t="s">
        <v>11</v>
      </c>
      <c r="E3" s="102" t="s">
        <v>12</v>
      </c>
      <c r="F3" s="102" t="s">
        <v>13</v>
      </c>
      <c r="G3" s="102" t="s">
        <v>14</v>
      </c>
      <c r="H3" s="102" t="s">
        <v>15</v>
      </c>
      <c r="I3" s="102" t="s">
        <v>16</v>
      </c>
      <c r="J3" s="102" t="s">
        <v>17</v>
      </c>
      <c r="K3" s="102" t="s">
        <v>18</v>
      </c>
      <c r="L3" s="103" t="s">
        <v>76</v>
      </c>
      <c r="P3" s="1" t="s">
        <v>8</v>
      </c>
      <c r="R3" s="33" t="s">
        <v>3</v>
      </c>
      <c r="S3" s="33" t="s">
        <v>4</v>
      </c>
      <c r="T3" s="33" t="s">
        <v>5</v>
      </c>
      <c r="U3" s="33" t="s">
        <v>20</v>
      </c>
      <c r="V3" s="33" t="s">
        <v>33</v>
      </c>
      <c r="W3" s="34" t="s">
        <v>21</v>
      </c>
      <c r="X3" s="22" t="s">
        <v>41</v>
      </c>
      <c r="Y3" s="23" t="s">
        <v>49</v>
      </c>
      <c r="Z3" s="23" t="s">
        <v>54</v>
      </c>
      <c r="AA3" s="23"/>
      <c r="AB3" s="23"/>
      <c r="AC3" s="23"/>
      <c r="AE3" s="11" t="s">
        <v>50</v>
      </c>
      <c r="AF3" s="11" t="s">
        <v>1</v>
      </c>
      <c r="AG3" s="11" t="str">
        <f>$AE$3&amp;AF3</f>
        <v>IndividualNo</v>
      </c>
    </row>
    <row r="4" spans="1:36" ht="15.75" x14ac:dyDescent="0.25">
      <c r="A4" s="105">
        <v>50000</v>
      </c>
      <c r="B4" s="104">
        <v>1506</v>
      </c>
      <c r="C4" s="104">
        <v>2210</v>
      </c>
      <c r="D4" s="104">
        <v>2855</v>
      </c>
      <c r="E4" s="104">
        <v>4034</v>
      </c>
      <c r="F4" s="104">
        <v>5125</v>
      </c>
      <c r="G4" s="104">
        <v>6611</v>
      </c>
      <c r="H4" s="104">
        <v>8450</v>
      </c>
      <c r="I4" s="104">
        <v>14479</v>
      </c>
      <c r="J4" s="104">
        <v>18019</v>
      </c>
      <c r="K4" s="104">
        <v>22486</v>
      </c>
      <c r="L4" s="104">
        <v>32690</v>
      </c>
      <c r="N4" s="12">
        <v>0.25</v>
      </c>
      <c r="O4" s="12">
        <v>25</v>
      </c>
      <c r="P4" s="13" t="s">
        <v>9</v>
      </c>
      <c r="R4" s="35" t="e">
        <f>#REF!</f>
        <v>#REF!</v>
      </c>
      <c r="S4" s="147" t="str">
        <f>IF(AND(COUNT($T$4:$T$5)=1,COUNT($T$6:$T$8)=1),"1A1C",IF(AND(COUNT($T$4:$T$5)=1,COUNT($T$6:$T$8)=2),"1A2C",IF(AND(COUNT($T$4:$T$5)=1,COUNT($T$6:$T$8)=3),"1A3C",IF(AND(COUNT($T$4:$T$5)=2,COUNT($T$6:$T$8)=0),"2A",IF(AND(COUNT($T$4:$T$5)=2,COUNT($T$6:$T$8)=1),"2A1C",IF(AND(COUNT($T$4:$T$5)=2,COUNT($T$6:$T$8)=2),"2A2C",IF(AND(COUNT($T$4:$T$5)=2,COUNT($T$6:$T$8)=3),"2A3C","Available floater combinations - 1A1C, 1A2C, 1A3C, 2A, 2A1C, 2A2C or 2A3C")))))))</f>
        <v>2A3C</v>
      </c>
      <c r="T4" s="110">
        <f>IF(Sheet1!B4="","",Sheet1!B4)</f>
        <v>65</v>
      </c>
      <c r="U4" s="36" t="str">
        <f>IFERROR(LOOKUP(T4,Master!$N$4:$P$14),0)</f>
        <v>61 years - 65 years</v>
      </c>
      <c r="V4" s="1">
        <f>IF(T4="",0,Sheet1!$B$3)</f>
        <v>300000</v>
      </c>
      <c r="W4" s="21">
        <f>IFERROR(INDEX($A$3:$L$23,MATCH(V4,$A$3:$A$23,0),MATCH(U4,$A$3:$L$3,0)),0)</f>
        <v>23947</v>
      </c>
      <c r="X4" s="21">
        <f>W4</f>
        <v>23947</v>
      </c>
      <c r="AA4" t="str">
        <f>"Total Premium for all members of the family is, Rs"&amp;" "&amp;ROUND(W9,0)&amp;" "&amp;"(excluding GST) when each member is covered separately."</f>
        <v>Total Premium for all members of the family is, Rs 41402 (excluding GST) when each member is covered separately.</v>
      </c>
      <c r="AB4" t="str">
        <f>"Total Premium for all members of the family is, Rs"&amp;" "&amp;ROUND(W9,0)&amp;" "&amp;"(excluding GST)  when they are covered under a single policy"</f>
        <v>Total Premium for all members of the family is, Rs 41402 (excluding GST)  when they are covered under a single policy</v>
      </c>
      <c r="AC4" t="str">
        <f>IF(S4="Available floater combinations - 1A1C, 1A2C, 1A3C, 2A, 2A1C, 2A2C or 2A3C","Total Premium when policy is opted on floater basis is, Rs"&amp;" "&amp;0&amp;" "&amp;"excluding GST","Total Premium when policy is opted on floater basis is, Rs"&amp;" "&amp;ROUND(X10,0)&amp;" "&amp;"excluding GST")</f>
        <v>Total Premium when policy is opted on floater basis is, Rs 24841 excluding GST</v>
      </c>
      <c r="AD4" s="72"/>
      <c r="AE4" s="11" t="s">
        <v>32</v>
      </c>
      <c r="AF4" s="2" t="s">
        <v>42</v>
      </c>
      <c r="AG4" s="11" t="str">
        <f t="shared" ref="AG4:AG6" si="0">$AE$3&amp;AF4</f>
        <v>IndividualHalf_Yearly</v>
      </c>
      <c r="AI4" s="72"/>
      <c r="AJ4" s="72"/>
    </row>
    <row r="5" spans="1:36" ht="15.75" x14ac:dyDescent="0.25">
      <c r="A5" s="105">
        <v>100000</v>
      </c>
      <c r="B5" s="104">
        <v>1650</v>
      </c>
      <c r="C5" s="104">
        <v>2415</v>
      </c>
      <c r="D5" s="104">
        <v>3112</v>
      </c>
      <c r="E5" s="104">
        <v>4383</v>
      </c>
      <c r="F5" s="104">
        <v>5572</v>
      </c>
      <c r="G5" s="104">
        <v>7276</v>
      </c>
      <c r="H5" s="104">
        <v>9333</v>
      </c>
      <c r="I5" s="104">
        <v>16014</v>
      </c>
      <c r="J5" s="104">
        <v>20684</v>
      </c>
      <c r="K5" s="104">
        <v>26367</v>
      </c>
      <c r="L5" s="104">
        <v>39340</v>
      </c>
      <c r="N5" s="14">
        <v>26</v>
      </c>
      <c r="O5" s="14">
        <v>35</v>
      </c>
      <c r="P5" s="13" t="s">
        <v>10</v>
      </c>
      <c r="R5" s="35" t="e">
        <f>#REF!</f>
        <v>#REF!</v>
      </c>
      <c r="S5" s="147"/>
      <c r="T5" s="110">
        <f>IF(Sheet1!D4="","",Sheet1!D4)</f>
        <v>55</v>
      </c>
      <c r="U5" s="36" t="str">
        <f>IFERROR(LOOKUP(T5,Master!$N$4:$P$14),0)</f>
        <v>51 years - 55 years</v>
      </c>
      <c r="V5" s="1">
        <f>IF(T5="",0,Sheet1!$B$3)</f>
        <v>300000</v>
      </c>
      <c r="W5" s="21">
        <f t="shared" ref="W5:W8" si="1">IFERROR(INDEX($A$3:$L$23,MATCH(V5,$A$3:$A$23,0),MATCH(U5,$A$3:$L$3,0)),0)</f>
        <v>10600</v>
      </c>
      <c r="X5" s="21">
        <f t="shared" ref="X5:X9" si="2">W5</f>
        <v>10600</v>
      </c>
      <c r="AA5" t="str">
        <f>"Sum insured available for each individual is Rs."&amp;" "&amp;Sheet1!B3</f>
        <v>Sum insured available for each individual is Rs. 300000</v>
      </c>
      <c r="AB5" t="str">
        <f>"Sum insured available for each family member is Rs."&amp;" "&amp;Sheet1!B3</f>
        <v>Sum insured available for each family member is Rs. 300000</v>
      </c>
      <c r="AC5" t="str">
        <f>IF(S4="Available floater combinations - 1A1C, 1A2C, 1A3C, 2A, 2A1C, 2A2C or 2A3C","Sum insured of Rs."&amp;" "&amp;0&amp;" "&amp;"is available for the entire family.","Sum insured of Rs."&amp;" "&amp;Sheet1!B3&amp;" "&amp;"is available for the entire family.")</f>
        <v>Sum insured of Rs. 300000 is available for the entire family.</v>
      </c>
      <c r="AD5" s="72"/>
      <c r="AE5" s="11"/>
      <c r="AF5" s="2" t="s">
        <v>46</v>
      </c>
      <c r="AG5" s="11" t="str">
        <f t="shared" si="0"/>
        <v>IndividualQuarterly</v>
      </c>
      <c r="AI5" s="72"/>
    </row>
    <row r="6" spans="1:36" ht="15.75" x14ac:dyDescent="0.25">
      <c r="A6" s="105">
        <v>150000</v>
      </c>
      <c r="B6" s="104">
        <v>1812</v>
      </c>
      <c r="C6" s="104">
        <v>2652</v>
      </c>
      <c r="D6" s="104">
        <v>3410</v>
      </c>
      <c r="E6" s="104">
        <v>4796</v>
      </c>
      <c r="F6" s="104">
        <v>6105</v>
      </c>
      <c r="G6" s="104">
        <v>8072</v>
      </c>
      <c r="H6" s="104">
        <v>10394</v>
      </c>
      <c r="I6" s="104">
        <v>17875</v>
      </c>
      <c r="J6" s="104">
        <v>23978</v>
      </c>
      <c r="K6" s="104">
        <v>31233</v>
      </c>
      <c r="L6" s="104">
        <v>47838</v>
      </c>
      <c r="N6" s="14">
        <v>36</v>
      </c>
      <c r="O6" s="14">
        <v>40</v>
      </c>
      <c r="P6" s="13" t="s">
        <v>11</v>
      </c>
      <c r="R6" s="35" t="e">
        <f>#REF!</f>
        <v>#REF!</v>
      </c>
      <c r="S6" s="147"/>
      <c r="T6" s="109">
        <f>IF(Sheet1!B5="","",IF(Sheet1!B5="3-11 Months",0.25,Sheet1!B5))</f>
        <v>25</v>
      </c>
      <c r="U6" s="36" t="str">
        <f>IFERROR(LOOKUP(T6,Master!$N$4:$P$14),0)</f>
        <v>91 days - 25 years</v>
      </c>
      <c r="V6" s="1">
        <f>IF(T6="",0,Sheet1!$B$3)</f>
        <v>300000</v>
      </c>
      <c r="W6" s="21">
        <f t="shared" si="1"/>
        <v>2285</v>
      </c>
      <c r="X6" s="21">
        <f t="shared" si="2"/>
        <v>2285</v>
      </c>
      <c r="AD6" s="72"/>
      <c r="AE6" s="11"/>
      <c r="AF6" s="2" t="s">
        <v>47</v>
      </c>
      <c r="AG6" s="11" t="str">
        <f t="shared" si="0"/>
        <v>IndividualMonthly</v>
      </c>
      <c r="AI6" s="72"/>
      <c r="AJ6" s="72"/>
    </row>
    <row r="7" spans="1:36" ht="15.75" x14ac:dyDescent="0.25">
      <c r="A7" s="105">
        <v>200000</v>
      </c>
      <c r="B7" s="104">
        <v>1959</v>
      </c>
      <c r="C7" s="104">
        <v>2865</v>
      </c>
      <c r="D7" s="104">
        <v>3678</v>
      </c>
      <c r="E7" s="104">
        <v>5164</v>
      </c>
      <c r="F7" s="104">
        <v>6579</v>
      </c>
      <c r="G7" s="104">
        <v>8793</v>
      </c>
      <c r="H7" s="104">
        <v>11356</v>
      </c>
      <c r="I7" s="104">
        <v>19567</v>
      </c>
      <c r="J7" s="104">
        <v>27029</v>
      </c>
      <c r="K7" s="104">
        <v>35772</v>
      </c>
      <c r="L7" s="104">
        <v>55814</v>
      </c>
      <c r="N7" s="14">
        <v>41</v>
      </c>
      <c r="O7" s="14">
        <v>45</v>
      </c>
      <c r="P7" s="13" t="s">
        <v>12</v>
      </c>
      <c r="R7" s="35" t="e">
        <f>#REF!</f>
        <v>#REF!</v>
      </c>
      <c r="S7" s="147"/>
      <c r="T7" s="109">
        <f>IF(Sheet1!D5="","",IF(Sheet1!D5="3-11 Months",0.25,Sheet1!D5))</f>
        <v>10</v>
      </c>
      <c r="U7" s="36" t="str">
        <f>IFERROR(LOOKUP(T7,Master!$N$4:$P$14),0)</f>
        <v>91 days - 25 years</v>
      </c>
      <c r="V7" s="1">
        <f>IF(T7="",0,Sheet1!$B$3)</f>
        <v>300000</v>
      </c>
      <c r="W7" s="21">
        <f t="shared" si="1"/>
        <v>2285</v>
      </c>
      <c r="X7" s="21">
        <f t="shared" si="2"/>
        <v>2285</v>
      </c>
      <c r="Y7" s="1" t="s">
        <v>1</v>
      </c>
      <c r="AD7" s="72"/>
      <c r="AE7" s="11"/>
      <c r="AF7" s="11"/>
      <c r="AG7" s="26" t="str">
        <f>$AE$4&amp;AF3</f>
        <v>Family FloaterNo</v>
      </c>
    </row>
    <row r="8" spans="1:36" ht="15.75" x14ac:dyDescent="0.25">
      <c r="A8" s="105">
        <v>250000</v>
      </c>
      <c r="B8" s="104">
        <v>2114</v>
      </c>
      <c r="C8" s="104">
        <v>3098</v>
      </c>
      <c r="D8" s="104">
        <v>3976</v>
      </c>
      <c r="E8" s="104">
        <v>5581</v>
      </c>
      <c r="F8" s="104">
        <v>7125</v>
      </c>
      <c r="G8" s="104">
        <v>9661</v>
      </c>
      <c r="H8" s="104">
        <v>12529</v>
      </c>
      <c r="I8" s="104">
        <v>21677</v>
      </c>
      <c r="J8" s="104">
        <v>31113</v>
      </c>
      <c r="K8" s="104">
        <v>42081</v>
      </c>
      <c r="L8" s="104">
        <v>67394</v>
      </c>
      <c r="N8" s="14">
        <v>46</v>
      </c>
      <c r="O8" s="14">
        <v>50</v>
      </c>
      <c r="P8" s="13" t="s">
        <v>13</v>
      </c>
      <c r="R8" s="35" t="e">
        <f>#REF!</f>
        <v>#REF!</v>
      </c>
      <c r="S8" s="147"/>
      <c r="T8" s="109">
        <f>IF(Sheet1!B6="","",IF(Sheet1!B6="3-11 Months",0.25,Sheet1!B6))</f>
        <v>0.25</v>
      </c>
      <c r="U8" s="36" t="str">
        <f>IFERROR(LOOKUP(T8,Master!$N$4:$P$14),0)</f>
        <v>91 days - 25 years</v>
      </c>
      <c r="V8" s="1">
        <f>IF(T8="",0,Sheet1!$B$3)</f>
        <v>300000</v>
      </c>
      <c r="W8" s="21">
        <f t="shared" si="1"/>
        <v>2285</v>
      </c>
      <c r="X8" s="21">
        <f t="shared" si="2"/>
        <v>2285</v>
      </c>
      <c r="AD8" s="72"/>
      <c r="AE8" s="11"/>
      <c r="AF8" s="11"/>
      <c r="AG8" s="26" t="str">
        <f t="shared" ref="AG8:AG10" si="3">$AE$4&amp;AF4</f>
        <v>Family FloaterHalf_Yearly</v>
      </c>
      <c r="AI8" s="72"/>
    </row>
    <row r="9" spans="1:36" ht="15.75" x14ac:dyDescent="0.25">
      <c r="A9" s="105">
        <v>300000</v>
      </c>
      <c r="B9" s="104">
        <v>2285</v>
      </c>
      <c r="C9" s="104">
        <v>3354</v>
      </c>
      <c r="D9" s="104">
        <v>4304</v>
      </c>
      <c r="E9" s="104">
        <v>6042</v>
      </c>
      <c r="F9" s="104">
        <v>7728</v>
      </c>
      <c r="G9" s="104">
        <v>10600</v>
      </c>
      <c r="H9" s="104">
        <v>13797</v>
      </c>
      <c r="I9" s="104">
        <v>23947</v>
      </c>
      <c r="J9" s="104">
        <v>35422</v>
      </c>
      <c r="K9" s="104">
        <v>48692</v>
      </c>
      <c r="L9" s="104">
        <v>79452</v>
      </c>
      <c r="N9" s="14">
        <v>51</v>
      </c>
      <c r="O9" s="14">
        <v>55</v>
      </c>
      <c r="P9" s="13" t="s">
        <v>14</v>
      </c>
      <c r="V9" s="38" t="s">
        <v>37</v>
      </c>
      <c r="W9" s="21">
        <f>SUM(W4:W8)</f>
        <v>41402</v>
      </c>
      <c r="X9" s="21">
        <f t="shared" si="2"/>
        <v>41402</v>
      </c>
      <c r="Y9" s="21">
        <f>IF(Y7="No",0,AC40)</f>
        <v>0</v>
      </c>
      <c r="Z9" s="1" t="e">
        <f>#REF!&amp;#REF!</f>
        <v>#REF!</v>
      </c>
      <c r="AD9" s="72"/>
      <c r="AE9" s="11"/>
      <c r="AF9" s="11"/>
      <c r="AG9" s="26" t="str">
        <f t="shared" si="3"/>
        <v>Family FloaterQuarterly</v>
      </c>
      <c r="AI9" s="72"/>
    </row>
    <row r="10" spans="1:36" ht="15.75" x14ac:dyDescent="0.25">
      <c r="A10" s="105">
        <v>350000</v>
      </c>
      <c r="B10" s="104">
        <v>2423</v>
      </c>
      <c r="C10" s="104">
        <v>3535</v>
      </c>
      <c r="D10" s="104">
        <v>4516</v>
      </c>
      <c r="E10" s="104">
        <v>6311</v>
      </c>
      <c r="F10" s="104">
        <v>8050</v>
      </c>
      <c r="G10" s="104">
        <v>10983</v>
      </c>
      <c r="H10" s="104">
        <v>14276</v>
      </c>
      <c r="I10" s="104">
        <v>24786</v>
      </c>
      <c r="J10" s="104">
        <v>36681</v>
      </c>
      <c r="K10" s="104">
        <v>50508</v>
      </c>
      <c r="L10" s="104">
        <v>82259</v>
      </c>
      <c r="N10" s="13">
        <v>56</v>
      </c>
      <c r="O10" s="14">
        <v>60</v>
      </c>
      <c r="P10" s="13" t="s">
        <v>15</v>
      </c>
      <c r="V10" s="39" t="s">
        <v>38</v>
      </c>
      <c r="W10" s="21">
        <f>SUM(W4:W8)</f>
        <v>41402</v>
      </c>
      <c r="X10" s="21">
        <f>W10-Y24</f>
        <v>24841.200000000001</v>
      </c>
      <c r="Y10" s="21">
        <f>IF(Y7="No",0,AC41)</f>
        <v>0</v>
      </c>
      <c r="AE10" s="11"/>
      <c r="AF10" s="11"/>
      <c r="AG10" s="26" t="str">
        <f t="shared" si="3"/>
        <v>Family FloaterMonthly</v>
      </c>
    </row>
    <row r="11" spans="1:36" ht="15.75" x14ac:dyDescent="0.25">
      <c r="A11" s="106">
        <v>400000</v>
      </c>
      <c r="B11" s="104">
        <v>2578</v>
      </c>
      <c r="C11" s="104">
        <v>3742</v>
      </c>
      <c r="D11" s="104">
        <v>4763</v>
      </c>
      <c r="E11" s="104">
        <v>6630</v>
      </c>
      <c r="F11" s="104">
        <v>8439</v>
      </c>
      <c r="G11" s="104">
        <v>11455</v>
      </c>
      <c r="H11" s="104">
        <v>14873</v>
      </c>
      <c r="I11" s="104">
        <v>25830</v>
      </c>
      <c r="J11" s="104">
        <v>38251</v>
      </c>
      <c r="K11" s="104">
        <v>52758</v>
      </c>
      <c r="L11" s="104">
        <v>85785</v>
      </c>
      <c r="N11" s="3">
        <v>61</v>
      </c>
      <c r="O11" s="14">
        <v>65</v>
      </c>
      <c r="P11" s="13" t="s">
        <v>16</v>
      </c>
      <c r="Q11" s="7" t="s">
        <v>55</v>
      </c>
      <c r="R11" s="7"/>
      <c r="W11" s="24"/>
    </row>
    <row r="12" spans="1:36" ht="15.75" x14ac:dyDescent="0.25">
      <c r="A12" s="105">
        <v>450000</v>
      </c>
      <c r="B12" s="104">
        <v>2780</v>
      </c>
      <c r="C12" s="104">
        <v>4011</v>
      </c>
      <c r="D12" s="104">
        <v>5092</v>
      </c>
      <c r="E12" s="104">
        <v>7045</v>
      </c>
      <c r="F12" s="104">
        <v>8920</v>
      </c>
      <c r="G12" s="104">
        <v>12080</v>
      </c>
      <c r="H12" s="104">
        <v>15622</v>
      </c>
      <c r="I12" s="104">
        <v>26782</v>
      </c>
      <c r="J12" s="104">
        <v>40018</v>
      </c>
      <c r="K12" s="104">
        <v>55158</v>
      </c>
      <c r="L12" s="104">
        <v>89628</v>
      </c>
      <c r="N12" s="3">
        <v>66</v>
      </c>
      <c r="O12" s="14">
        <v>70</v>
      </c>
      <c r="P12" s="13" t="s">
        <v>17</v>
      </c>
      <c r="Q12" s="7" t="s">
        <v>7</v>
      </c>
      <c r="AD12" s="72"/>
      <c r="AG12" s="29"/>
    </row>
    <row r="13" spans="1:36" ht="15.75" x14ac:dyDescent="0.25">
      <c r="A13" s="105">
        <v>500000</v>
      </c>
      <c r="B13" s="104">
        <v>2963</v>
      </c>
      <c r="C13" s="104">
        <v>4248</v>
      </c>
      <c r="D13" s="104">
        <v>5378</v>
      </c>
      <c r="E13" s="104">
        <v>7397</v>
      </c>
      <c r="F13" s="104">
        <v>9321</v>
      </c>
      <c r="G13" s="104">
        <v>12600</v>
      </c>
      <c r="H13" s="104">
        <v>16231</v>
      </c>
      <c r="I13" s="104">
        <v>27495</v>
      </c>
      <c r="J13" s="104">
        <v>41416</v>
      </c>
      <c r="K13" s="104">
        <v>57040</v>
      </c>
      <c r="L13" s="104">
        <v>92619</v>
      </c>
      <c r="N13" s="3">
        <v>71</v>
      </c>
      <c r="O13" s="14">
        <v>75</v>
      </c>
      <c r="P13" s="13" t="s">
        <v>18</v>
      </c>
      <c r="Q13" s="7"/>
      <c r="V13" s="145" t="s">
        <v>25</v>
      </c>
      <c r="W13" s="145"/>
      <c r="AA13" s="86"/>
      <c r="AB13" s="59"/>
      <c r="AD13" s="146"/>
      <c r="AE13" s="146"/>
      <c r="AG13" s="30" t="e">
        <f>IF($Z$9=AG3,$AI$17,IF($Z$9=AG4,Y9,IF($Z$9=AG5,Y9,IF($Z$9=AG6,Y9,IF($Z$9=AG7,$AI$17,IF($Z$9=AG8,Y10,IF($Z$9=AG9,Y10,IF($Z$9=AG10,Y10,0))))))))</f>
        <v>#REF!</v>
      </c>
      <c r="AH13" s="1" t="s">
        <v>57</v>
      </c>
    </row>
    <row r="14" spans="1:36" ht="15.75" x14ac:dyDescent="0.25">
      <c r="A14" s="105">
        <v>550000</v>
      </c>
      <c r="B14" s="107">
        <v>3081</v>
      </c>
      <c r="C14" s="107">
        <v>4385</v>
      </c>
      <c r="D14" s="107">
        <v>5539</v>
      </c>
      <c r="E14" s="107">
        <v>7593</v>
      </c>
      <c r="F14" s="107">
        <v>9549</v>
      </c>
      <c r="G14" s="107">
        <v>12877</v>
      </c>
      <c r="H14" s="107">
        <v>16571</v>
      </c>
      <c r="I14" s="107">
        <v>28014</v>
      </c>
      <c r="J14" s="107">
        <v>42066</v>
      </c>
      <c r="K14" s="107">
        <v>57886</v>
      </c>
      <c r="L14" s="104">
        <v>93914</v>
      </c>
      <c r="N14" s="3">
        <v>76</v>
      </c>
      <c r="O14" s="14">
        <v>100</v>
      </c>
      <c r="P14" s="13" t="s">
        <v>76</v>
      </c>
      <c r="Q14" s="7"/>
      <c r="V14" s="48" t="s">
        <v>26</v>
      </c>
      <c r="W14" s="18">
        <v>0.15</v>
      </c>
      <c r="AA14" s="56"/>
      <c r="AB14" s="66"/>
      <c r="AD14" s="56"/>
      <c r="AE14" s="66"/>
    </row>
    <row r="15" spans="1:36" ht="15.75" x14ac:dyDescent="0.25">
      <c r="A15" s="105">
        <v>600000</v>
      </c>
      <c r="B15" s="104">
        <v>3178</v>
      </c>
      <c r="C15" s="104">
        <v>4489</v>
      </c>
      <c r="D15" s="104">
        <v>5656</v>
      </c>
      <c r="E15" s="104">
        <v>7725</v>
      </c>
      <c r="F15" s="104">
        <v>9695</v>
      </c>
      <c r="G15" s="104">
        <v>13045</v>
      </c>
      <c r="H15" s="104">
        <v>16766</v>
      </c>
      <c r="I15" s="104">
        <v>28287</v>
      </c>
      <c r="J15" s="104">
        <v>42336</v>
      </c>
      <c r="K15" s="104">
        <v>58201</v>
      </c>
      <c r="L15" s="104">
        <v>94334</v>
      </c>
      <c r="P15" s="7"/>
      <c r="Q15" s="7"/>
      <c r="V15" s="48" t="s">
        <v>27</v>
      </c>
      <c r="AA15" s="6"/>
      <c r="AB15" s="67"/>
      <c r="AD15" s="6"/>
      <c r="AE15" s="67"/>
      <c r="AG15" s="27" t="s">
        <v>53</v>
      </c>
      <c r="AH15" s="44"/>
      <c r="AI15" s="25" t="e">
        <f>IF(#REF!="Individual",Master!$X$9,Master!$X$10)</f>
        <v>#REF!</v>
      </c>
    </row>
    <row r="16" spans="1:36" ht="15.75" x14ac:dyDescent="0.25">
      <c r="A16" s="105">
        <v>650000</v>
      </c>
      <c r="B16" s="104">
        <v>3296</v>
      </c>
      <c r="C16" s="104">
        <v>4626</v>
      </c>
      <c r="D16" s="104">
        <v>5816</v>
      </c>
      <c r="E16" s="104">
        <v>7919</v>
      </c>
      <c r="F16" s="104">
        <v>9923</v>
      </c>
      <c r="G16" s="104">
        <v>13320</v>
      </c>
      <c r="H16" s="104">
        <v>17104</v>
      </c>
      <c r="I16" s="104">
        <v>28802</v>
      </c>
      <c r="J16" s="104">
        <v>42980</v>
      </c>
      <c r="K16" s="104">
        <v>59040</v>
      </c>
      <c r="L16" s="104">
        <v>95617</v>
      </c>
      <c r="P16" s="4"/>
      <c r="Q16" s="4"/>
      <c r="V16" s="41" t="s">
        <v>23</v>
      </c>
      <c r="W16" s="42" t="s">
        <v>24</v>
      </c>
      <c r="AA16" s="6"/>
      <c r="AB16" s="67"/>
      <c r="AD16" s="6"/>
      <c r="AE16" s="68"/>
      <c r="AG16" s="28" t="s">
        <v>75</v>
      </c>
      <c r="AH16" s="11"/>
      <c r="AI16" s="25" t="e">
        <f>#REF!</f>
        <v>#REF!</v>
      </c>
    </row>
    <row r="17" spans="1:35" ht="15.75" x14ac:dyDescent="0.25">
      <c r="A17" s="105">
        <v>700000</v>
      </c>
      <c r="B17" s="104">
        <v>3392</v>
      </c>
      <c r="C17" s="104">
        <v>4729</v>
      </c>
      <c r="D17" s="104">
        <v>5931</v>
      </c>
      <c r="E17" s="104">
        <v>8048</v>
      </c>
      <c r="F17" s="104">
        <v>10064</v>
      </c>
      <c r="G17" s="104">
        <v>13483</v>
      </c>
      <c r="H17" s="104">
        <v>17291</v>
      </c>
      <c r="I17" s="104">
        <v>29063</v>
      </c>
      <c r="J17" s="104">
        <v>43234</v>
      </c>
      <c r="K17" s="104">
        <v>59333</v>
      </c>
      <c r="L17" s="104">
        <v>96003</v>
      </c>
      <c r="N17" s="78"/>
      <c r="O17" s="79"/>
      <c r="P17" s="20"/>
      <c r="Q17" s="5"/>
      <c r="V17" s="53" t="s">
        <v>9</v>
      </c>
      <c r="W17" s="54">
        <v>0.25</v>
      </c>
      <c r="AA17" s="6"/>
      <c r="AB17" s="67"/>
      <c r="AD17" s="6"/>
      <c r="AE17" s="67"/>
      <c r="AG17" s="28" t="s">
        <v>56</v>
      </c>
      <c r="AH17" s="11"/>
      <c r="AI17" s="46" t="e">
        <f>SUM(AI15:AI16)</f>
        <v>#REF!</v>
      </c>
    </row>
    <row r="18" spans="1:35" ht="15.75" x14ac:dyDescent="0.25">
      <c r="A18" s="105">
        <v>750000</v>
      </c>
      <c r="B18" s="104">
        <v>3509</v>
      </c>
      <c r="C18" s="104">
        <v>4865</v>
      </c>
      <c r="D18" s="104">
        <v>6091</v>
      </c>
      <c r="E18" s="104">
        <v>8241</v>
      </c>
      <c r="F18" s="104">
        <v>10290</v>
      </c>
      <c r="G18" s="104">
        <v>13756</v>
      </c>
      <c r="H18" s="104">
        <v>17627</v>
      </c>
      <c r="I18" s="104">
        <v>29573</v>
      </c>
      <c r="J18" s="104">
        <v>43874</v>
      </c>
      <c r="K18" s="104">
        <v>60165</v>
      </c>
      <c r="L18" s="104">
        <v>97275</v>
      </c>
      <c r="N18" s="80"/>
      <c r="O18" s="80"/>
      <c r="P18" s="32"/>
      <c r="Q18" s="5"/>
      <c r="V18" s="13" t="s">
        <v>10</v>
      </c>
      <c r="W18" s="49">
        <v>0.25</v>
      </c>
      <c r="X18" s="16" t="s">
        <v>28</v>
      </c>
      <c r="Z18" s="16" t="s">
        <v>34</v>
      </c>
      <c r="AA18" s="59"/>
      <c r="AB18" s="59"/>
      <c r="AD18" s="6"/>
      <c r="AE18" s="67"/>
    </row>
    <row r="19" spans="1:35" ht="15.75" x14ac:dyDescent="0.25">
      <c r="A19" s="105">
        <v>800000</v>
      </c>
      <c r="B19" s="104">
        <v>3608</v>
      </c>
      <c r="C19" s="104">
        <v>4976</v>
      </c>
      <c r="D19" s="104">
        <v>6209</v>
      </c>
      <c r="E19" s="104">
        <v>8376</v>
      </c>
      <c r="F19" s="104">
        <v>10440</v>
      </c>
      <c r="G19" s="104">
        <v>13913</v>
      </c>
      <c r="H19" s="104">
        <v>17807</v>
      </c>
      <c r="I19" s="104">
        <v>29822</v>
      </c>
      <c r="J19" s="104">
        <v>44162</v>
      </c>
      <c r="K19" s="104">
        <v>60504</v>
      </c>
      <c r="L19" s="104">
        <v>97734</v>
      </c>
      <c r="N19" s="79"/>
      <c r="O19" s="79"/>
      <c r="P19" s="32"/>
      <c r="Q19" s="5"/>
      <c r="V19" s="13" t="s">
        <v>11</v>
      </c>
      <c r="W19" s="49">
        <v>0.25</v>
      </c>
      <c r="X19" s="1" t="s">
        <v>29</v>
      </c>
      <c r="Y19" s="19">
        <f>MAX($T$4:$T$8)</f>
        <v>65</v>
      </c>
      <c r="Z19" s="1">
        <f>COUNTIFS($T$6:$T$8,"&gt;=0.25",$T$6:$T$8,"&lt;=25",$T$6:$T$8,"&lt;=18")</f>
        <v>2</v>
      </c>
      <c r="AA19" s="56"/>
      <c r="AB19" s="59"/>
      <c r="AD19" s="56"/>
      <c r="AE19" s="59"/>
    </row>
    <row r="20" spans="1:35" ht="15.75" x14ac:dyDescent="0.25">
      <c r="A20" s="105">
        <v>850000</v>
      </c>
      <c r="B20" s="104">
        <v>3728</v>
      </c>
      <c r="C20" s="104">
        <v>5121</v>
      </c>
      <c r="D20" s="104">
        <v>6375</v>
      </c>
      <c r="E20" s="104">
        <v>8578</v>
      </c>
      <c r="F20" s="104">
        <v>10676</v>
      </c>
      <c r="G20" s="104">
        <v>14185</v>
      </c>
      <c r="H20" s="104">
        <v>18140</v>
      </c>
      <c r="I20" s="104">
        <v>30328</v>
      </c>
      <c r="J20" s="104">
        <v>44846</v>
      </c>
      <c r="K20" s="104">
        <v>61396</v>
      </c>
      <c r="L20" s="104">
        <v>99102</v>
      </c>
      <c r="N20" s="79"/>
      <c r="O20" s="79"/>
      <c r="P20" s="32"/>
      <c r="Q20" s="5"/>
      <c r="V20" s="13" t="s">
        <v>12</v>
      </c>
      <c r="W20" s="49">
        <v>0.25</v>
      </c>
      <c r="X20" s="1" t="s">
        <v>6</v>
      </c>
      <c r="Y20" s="1">
        <f>Sheet1!$B$3</f>
        <v>300000</v>
      </c>
      <c r="Z20" s="1" t="str">
        <f>IF($Z$19=COUNT($T$6:$T$8),"Yes","No")</f>
        <v>No</v>
      </c>
      <c r="AA20" s="6"/>
      <c r="AB20" s="69"/>
      <c r="AD20" s="6"/>
      <c r="AE20" s="69"/>
    </row>
    <row r="21" spans="1:35" ht="30" x14ac:dyDescent="0.25">
      <c r="A21" s="105">
        <v>900000</v>
      </c>
      <c r="B21" s="104">
        <v>3825</v>
      </c>
      <c r="C21" s="104">
        <v>5230</v>
      </c>
      <c r="D21" s="104">
        <v>6491</v>
      </c>
      <c r="E21" s="104">
        <v>8709</v>
      </c>
      <c r="F21" s="104">
        <v>10821</v>
      </c>
      <c r="G21" s="104">
        <v>14336</v>
      </c>
      <c r="H21" s="104">
        <v>18313</v>
      </c>
      <c r="I21" s="104">
        <v>30564</v>
      </c>
      <c r="J21" s="104">
        <v>45116</v>
      </c>
      <c r="K21" s="104">
        <v>61711</v>
      </c>
      <c r="L21" s="104">
        <v>99523</v>
      </c>
      <c r="M21" s="5"/>
      <c r="N21" s="79"/>
      <c r="O21" s="79"/>
      <c r="P21" s="32"/>
      <c r="Q21" s="5"/>
      <c r="V21" s="13" t="s">
        <v>13</v>
      </c>
      <c r="W21" s="49">
        <v>0.3</v>
      </c>
      <c r="X21" s="50" t="s">
        <v>30</v>
      </c>
      <c r="Y21" s="51" t="str">
        <f>LOOKUP($Y$19,$N$4:$P$14)</f>
        <v>61 years - 65 years</v>
      </c>
      <c r="AA21" s="6"/>
      <c r="AB21" s="85"/>
      <c r="AD21" s="6"/>
      <c r="AE21" s="70"/>
    </row>
    <row r="22" spans="1:35" ht="15.75" x14ac:dyDescent="0.25">
      <c r="A22" s="106">
        <v>950000</v>
      </c>
      <c r="B22" s="104">
        <v>3945</v>
      </c>
      <c r="C22" s="104">
        <v>5374</v>
      </c>
      <c r="D22" s="104">
        <v>6656</v>
      </c>
      <c r="E22" s="104">
        <v>8909</v>
      </c>
      <c r="F22" s="104">
        <v>11056</v>
      </c>
      <c r="G22" s="104">
        <v>14606</v>
      </c>
      <c r="H22" s="104">
        <v>18643</v>
      </c>
      <c r="I22" s="104">
        <v>31067</v>
      </c>
      <c r="J22" s="104">
        <v>45794</v>
      </c>
      <c r="K22" s="104">
        <v>62595</v>
      </c>
      <c r="L22" s="104">
        <v>100878</v>
      </c>
      <c r="M22" s="5"/>
      <c r="N22" s="79"/>
      <c r="O22" s="79"/>
      <c r="P22" s="32"/>
      <c r="Q22" s="5"/>
      <c r="V22" s="13" t="s">
        <v>14</v>
      </c>
      <c r="W22" s="49">
        <v>0.35</v>
      </c>
      <c r="X22" s="51" t="s">
        <v>31</v>
      </c>
      <c r="Y22" s="52">
        <f>IF(COUNT($T$4:$T$5)&gt;1,VLOOKUP($Y$21,$V$16:$W$27,2,0),0)</f>
        <v>0.35</v>
      </c>
      <c r="Z22" s="18">
        <f>COUNT($T$6:$T$8)*15%</f>
        <v>0.44999999999999996</v>
      </c>
      <c r="AA22" s="56"/>
      <c r="AB22" s="59"/>
      <c r="AD22" s="56"/>
      <c r="AE22" s="59"/>
    </row>
    <row r="23" spans="1:35" ht="15.75" x14ac:dyDescent="0.25">
      <c r="A23" s="105">
        <v>1000000</v>
      </c>
      <c r="B23" s="104">
        <v>4041</v>
      </c>
      <c r="C23" s="104">
        <v>5481</v>
      </c>
      <c r="D23" s="104">
        <v>6770</v>
      </c>
      <c r="E23" s="104">
        <v>9037</v>
      </c>
      <c r="F23" s="104">
        <v>11197</v>
      </c>
      <c r="G23" s="104">
        <v>14752</v>
      </c>
      <c r="H23" s="104">
        <v>18809</v>
      </c>
      <c r="I23" s="104">
        <v>31290</v>
      </c>
      <c r="J23" s="104">
        <v>46047</v>
      </c>
      <c r="K23" s="104">
        <v>62887</v>
      </c>
      <c r="L23" s="104">
        <v>101262</v>
      </c>
      <c r="N23" s="79"/>
      <c r="O23" s="79"/>
      <c r="P23" s="32"/>
      <c r="V23" s="13" t="s">
        <v>15</v>
      </c>
      <c r="W23" s="49">
        <v>0.35</v>
      </c>
      <c r="X23" s="1" t="s">
        <v>35</v>
      </c>
      <c r="Y23" s="18">
        <f>MIN(40%,SUM(Y22,Z22))</f>
        <v>0.4</v>
      </c>
      <c r="AA23" s="59"/>
      <c r="AB23" s="70"/>
      <c r="AE23" s="21"/>
    </row>
    <row r="24" spans="1:35" x14ac:dyDescent="0.25">
      <c r="A24" s="5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N24" s="32"/>
      <c r="O24" s="79"/>
      <c r="P24" s="32"/>
      <c r="V24" s="13" t="s">
        <v>16</v>
      </c>
      <c r="W24" s="49">
        <v>0.35</v>
      </c>
      <c r="X24" s="1" t="s">
        <v>36</v>
      </c>
      <c r="Y24" s="19">
        <f>W10*Y23</f>
        <v>16560.8</v>
      </c>
      <c r="AA24" s="59"/>
      <c r="AB24" s="70"/>
      <c r="AE24" s="21"/>
    </row>
    <row r="25" spans="1:35" x14ac:dyDescent="0.25">
      <c r="A25" s="5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N25" s="5"/>
      <c r="O25" s="79"/>
      <c r="P25" s="32"/>
      <c r="V25" s="13" t="s">
        <v>17</v>
      </c>
      <c r="W25" s="49">
        <v>0.35</v>
      </c>
      <c r="AA25" s="59"/>
      <c r="AB25" s="70"/>
      <c r="AE25" s="21"/>
    </row>
    <row r="26" spans="1:35" x14ac:dyDescent="0.25">
      <c r="A26" s="5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5"/>
      <c r="O26" s="79"/>
      <c r="P26" s="32"/>
      <c r="V26" s="13" t="s">
        <v>18</v>
      </c>
      <c r="W26" s="49">
        <v>0.35</v>
      </c>
      <c r="AA26" s="59"/>
      <c r="AB26" s="70"/>
      <c r="AE26" s="21"/>
    </row>
    <row r="27" spans="1:35" x14ac:dyDescent="0.25">
      <c r="A27" s="5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N27" s="5"/>
      <c r="O27" s="79"/>
      <c r="P27" s="32"/>
      <c r="V27" s="13" t="s">
        <v>76</v>
      </c>
      <c r="W27" s="49">
        <v>0.35</v>
      </c>
      <c r="AA27" s="59"/>
      <c r="AB27" s="70"/>
      <c r="AE27" s="21"/>
    </row>
    <row r="28" spans="1:35" x14ac:dyDescent="0.25">
      <c r="A28" s="4"/>
      <c r="B28" s="5"/>
      <c r="C28" s="5"/>
      <c r="D28" s="5"/>
      <c r="E28" s="5"/>
      <c r="F28" s="5"/>
      <c r="G28" s="5"/>
      <c r="H28" s="7"/>
      <c r="I28" s="7"/>
      <c r="J28" s="7"/>
      <c r="K28" s="7"/>
      <c r="L28" s="7"/>
      <c r="N28" s="5"/>
      <c r="O28" s="79"/>
      <c r="P28" s="32"/>
      <c r="R28" s="20"/>
    </row>
    <row r="29" spans="1:35" x14ac:dyDescent="0.25">
      <c r="A29" s="56"/>
      <c r="B29" s="5"/>
      <c r="C29" s="5"/>
      <c r="D29" s="5"/>
      <c r="E29" s="5"/>
      <c r="F29" s="5"/>
      <c r="G29" s="5"/>
      <c r="H29" s="7"/>
      <c r="I29" s="7"/>
      <c r="J29" s="7"/>
      <c r="K29" s="7"/>
      <c r="L29" s="7"/>
      <c r="R29" s="21"/>
      <c r="W29" s="18"/>
    </row>
    <row r="30" spans="1:35" ht="15.75" x14ac:dyDescent="0.25">
      <c r="A30" s="76"/>
      <c r="B30" s="31"/>
      <c r="C30" s="4"/>
      <c r="D30" s="4"/>
      <c r="E30" s="4"/>
      <c r="F30" s="4"/>
      <c r="G30" s="4"/>
      <c r="H30" s="4"/>
      <c r="I30" s="4"/>
      <c r="J30" s="4"/>
      <c r="K30" s="4"/>
      <c r="L30" s="32"/>
      <c r="M30" s="75"/>
      <c r="N30" s="71"/>
      <c r="R30" s="21"/>
    </row>
    <row r="31" spans="1:35" ht="15.75" x14ac:dyDescent="0.25">
      <c r="A31" s="7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R31" s="21"/>
      <c r="W31" s="19"/>
      <c r="AA31" s="45" t="s">
        <v>43</v>
      </c>
    </row>
    <row r="32" spans="1:35" ht="15.75" x14ac:dyDescent="0.25">
      <c r="A32" s="77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R32" s="21"/>
      <c r="AA32" s="41" t="s">
        <v>44</v>
      </c>
      <c r="AB32" s="42" t="s">
        <v>45</v>
      </c>
    </row>
    <row r="33" spans="1:29" x14ac:dyDescent="0.25">
      <c r="A33" s="5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R33" s="21"/>
      <c r="Y33" s="11" t="s">
        <v>1</v>
      </c>
      <c r="AA33" s="11" t="s">
        <v>1</v>
      </c>
      <c r="AB33" s="43">
        <v>0</v>
      </c>
    </row>
    <row r="34" spans="1:29" x14ac:dyDescent="0.25">
      <c r="A34" s="5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Y34" s="2" t="s">
        <v>42</v>
      </c>
      <c r="AA34" s="2" t="s">
        <v>42</v>
      </c>
      <c r="AB34" s="43">
        <v>0.02</v>
      </c>
    </row>
    <row r="35" spans="1:29" x14ac:dyDescent="0.25">
      <c r="A35" s="5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Y35" s="2" t="s">
        <v>46</v>
      </c>
      <c r="AA35" s="2" t="s">
        <v>46</v>
      </c>
      <c r="AB35" s="43">
        <v>0.04</v>
      </c>
    </row>
    <row r="36" spans="1:29" x14ac:dyDescent="0.25">
      <c r="A36" s="5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7"/>
      <c r="N36" s="4"/>
      <c r="O36" s="4"/>
      <c r="P36" s="4"/>
      <c r="Q36" s="4"/>
      <c r="R36" s="4"/>
      <c r="S36" s="4"/>
      <c r="T36" s="32"/>
      <c r="Y36" s="26" t="s">
        <v>47</v>
      </c>
      <c r="AA36" s="2" t="s">
        <v>47</v>
      </c>
      <c r="AB36" s="43">
        <v>0.05</v>
      </c>
    </row>
    <row r="37" spans="1:29" x14ac:dyDescent="0.25">
      <c r="A37" s="5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7"/>
      <c r="N37" s="5"/>
      <c r="O37" s="5"/>
      <c r="P37" s="5"/>
      <c r="Q37" s="5"/>
      <c r="R37" s="5"/>
      <c r="S37" s="5"/>
      <c r="T37" s="5"/>
    </row>
    <row r="38" spans="1:29" x14ac:dyDescent="0.25">
      <c r="M38" s="7"/>
      <c r="N38" s="5"/>
      <c r="O38" s="5"/>
      <c r="P38" s="5"/>
      <c r="Q38" s="5"/>
      <c r="R38" s="5"/>
      <c r="S38" s="5"/>
      <c r="T38" s="5"/>
      <c r="AA38" s="6" t="s">
        <v>48</v>
      </c>
      <c r="AB38" s="18">
        <f>IFERROR(VLOOKUP(#REF!,Master!$AA$32:$AB$36,2,0),0)</f>
        <v>0</v>
      </c>
    </row>
    <row r="39" spans="1:29" x14ac:dyDescent="0.25">
      <c r="M39" s="7"/>
      <c r="N39" s="5"/>
      <c r="O39" s="5"/>
      <c r="P39" s="5"/>
      <c r="Q39" s="5"/>
      <c r="R39" s="5"/>
      <c r="S39" s="5"/>
      <c r="T39" s="5"/>
      <c r="AB39" s="1" t="s">
        <v>39</v>
      </c>
      <c r="AC39" s="1" t="s">
        <v>52</v>
      </c>
    </row>
    <row r="40" spans="1:29" x14ac:dyDescent="0.25">
      <c r="A40" s="7"/>
      <c r="B40" s="144"/>
      <c r="C40" s="144"/>
      <c r="D40" s="144"/>
      <c r="E40" s="144"/>
      <c r="F40" s="144"/>
      <c r="G40" s="144"/>
      <c r="M40" s="7"/>
      <c r="N40" s="5"/>
      <c r="O40" s="5"/>
      <c r="P40" s="5"/>
      <c r="Q40" s="5"/>
      <c r="R40" s="5"/>
      <c r="S40" s="5"/>
      <c r="T40" s="5"/>
      <c r="AA40" s="47" t="s">
        <v>50</v>
      </c>
      <c r="AB40" s="24" t="e">
        <f>$AB$38*$AI$17</f>
        <v>#REF!</v>
      </c>
      <c r="AC40" s="24" t="e">
        <f>$AB$40+$AI$17</f>
        <v>#REF!</v>
      </c>
    </row>
    <row r="41" spans="1:29" x14ac:dyDescent="0.25">
      <c r="A41" s="9"/>
      <c r="B41" s="8"/>
      <c r="C41" s="8"/>
      <c r="D41" s="8"/>
      <c r="E41" s="8"/>
      <c r="F41" s="8"/>
      <c r="G41" s="8"/>
      <c r="M41" s="7"/>
      <c r="N41" s="5"/>
      <c r="O41" s="5"/>
      <c r="P41" s="5"/>
      <c r="Q41" s="5"/>
      <c r="R41" s="5"/>
      <c r="S41" s="5"/>
      <c r="T41" s="5"/>
      <c r="AA41" s="47" t="s">
        <v>51</v>
      </c>
      <c r="AB41" s="24" t="e">
        <f>$AB$38*$AI$17</f>
        <v>#REF!</v>
      </c>
      <c r="AC41" s="24" t="e">
        <f>$AB$41+AI17</f>
        <v>#REF!</v>
      </c>
    </row>
    <row r="42" spans="1:29" x14ac:dyDescent="0.25">
      <c r="A42" s="4"/>
      <c r="B42" s="5"/>
      <c r="C42" s="5"/>
      <c r="D42" s="5"/>
      <c r="E42" s="5"/>
      <c r="F42" s="5"/>
      <c r="G42" s="5"/>
      <c r="M42" s="7"/>
      <c r="N42" s="5"/>
      <c r="O42" s="5"/>
      <c r="P42" s="5"/>
      <c r="Q42" s="5"/>
      <c r="R42" s="5"/>
      <c r="S42" s="5"/>
      <c r="T42" s="5"/>
    </row>
    <row r="43" spans="1:29" x14ac:dyDescent="0.25">
      <c r="A43" s="4"/>
      <c r="B43" s="5"/>
      <c r="C43" s="5"/>
      <c r="D43" s="5"/>
      <c r="E43" s="5"/>
      <c r="F43" s="5"/>
      <c r="G43" s="5"/>
      <c r="M43" s="7"/>
      <c r="N43" s="5"/>
      <c r="O43" s="5"/>
      <c r="P43" s="5"/>
      <c r="Q43" s="5"/>
      <c r="R43" s="5"/>
      <c r="S43" s="5"/>
      <c r="T43" s="5"/>
    </row>
    <row r="44" spans="1:29" x14ac:dyDescent="0.25">
      <c r="A44" s="4"/>
      <c r="B44" s="5"/>
      <c r="C44" s="5"/>
      <c r="D44" s="5"/>
      <c r="E44" s="5"/>
      <c r="F44" s="5"/>
      <c r="G44" s="5"/>
      <c r="M44" s="7"/>
      <c r="N44" s="5"/>
      <c r="O44" s="5"/>
      <c r="P44" s="5"/>
      <c r="Q44" s="5"/>
      <c r="R44" s="5"/>
      <c r="S44" s="5"/>
      <c r="T44" s="5"/>
    </row>
    <row r="45" spans="1:29" x14ac:dyDescent="0.25">
      <c r="A45" s="4"/>
      <c r="B45" s="5"/>
      <c r="C45" s="5"/>
      <c r="D45" s="5"/>
      <c r="E45" s="5"/>
      <c r="F45" s="5"/>
      <c r="G45" s="5"/>
      <c r="M45" s="7"/>
      <c r="N45" s="5"/>
      <c r="O45" s="5"/>
      <c r="P45" s="5"/>
      <c r="Q45" s="5"/>
      <c r="R45" s="5"/>
      <c r="S45" s="5"/>
      <c r="T45" s="5"/>
    </row>
    <row r="46" spans="1:29" x14ac:dyDescent="0.25">
      <c r="A46" s="4"/>
      <c r="B46" s="5"/>
      <c r="C46" s="5"/>
      <c r="D46" s="5"/>
      <c r="E46" s="5"/>
      <c r="F46" s="5"/>
      <c r="G46" s="5"/>
      <c r="M46" s="7"/>
      <c r="N46" s="5"/>
      <c r="O46" s="5"/>
      <c r="P46" s="5"/>
      <c r="Q46" s="5"/>
      <c r="R46" s="5"/>
      <c r="S46" s="5"/>
      <c r="T46" s="5"/>
    </row>
    <row r="47" spans="1:29" x14ac:dyDescent="0.25">
      <c r="A47" s="4"/>
      <c r="B47" s="5"/>
      <c r="C47" s="5"/>
      <c r="D47" s="5"/>
      <c r="E47" s="5"/>
      <c r="F47" s="5"/>
      <c r="G47" s="5"/>
      <c r="M47" s="7"/>
      <c r="N47" s="5"/>
      <c r="O47" s="5"/>
      <c r="P47" s="5"/>
      <c r="Q47" s="5"/>
      <c r="R47" s="5"/>
      <c r="S47" s="5"/>
      <c r="T47" s="5"/>
    </row>
    <row r="48" spans="1:29" x14ac:dyDescent="0.25">
      <c r="A48" s="4"/>
      <c r="B48" s="5"/>
      <c r="C48" s="5"/>
      <c r="D48" s="5"/>
      <c r="E48" s="5"/>
      <c r="F48" s="5"/>
      <c r="G48" s="5"/>
      <c r="M48" s="7"/>
      <c r="N48" s="5"/>
      <c r="O48" s="5"/>
      <c r="P48" s="5"/>
      <c r="Q48" s="5"/>
      <c r="R48" s="5"/>
      <c r="S48" s="5"/>
      <c r="T48" s="5"/>
    </row>
    <row r="49" spans="1:20" x14ac:dyDescent="0.25">
      <c r="A49" s="4"/>
      <c r="B49" s="5"/>
      <c r="C49" s="5"/>
      <c r="D49" s="5"/>
      <c r="E49" s="5"/>
      <c r="F49" s="5"/>
      <c r="G49" s="5"/>
      <c r="M49" s="7"/>
      <c r="N49" s="5"/>
      <c r="O49" s="5"/>
      <c r="P49" s="5"/>
      <c r="Q49" s="5"/>
      <c r="R49" s="5"/>
      <c r="S49" s="5"/>
      <c r="T49" s="5"/>
    </row>
    <row r="50" spans="1:20" x14ac:dyDescent="0.25">
      <c r="A50" s="4"/>
      <c r="B50" s="5"/>
      <c r="C50" s="5"/>
      <c r="D50" s="5"/>
      <c r="E50" s="5"/>
      <c r="F50" s="5"/>
      <c r="G50" s="5"/>
      <c r="M50" s="7"/>
      <c r="N50" s="5"/>
      <c r="O50" s="5"/>
      <c r="P50" s="5"/>
      <c r="Q50" s="5"/>
      <c r="R50" s="5"/>
      <c r="S50" s="5"/>
      <c r="T50" s="5"/>
    </row>
    <row r="51" spans="1:20" x14ac:dyDescent="0.25">
      <c r="A51" s="4"/>
      <c r="B51" s="5"/>
      <c r="C51" s="5"/>
      <c r="D51" s="5"/>
      <c r="E51" s="5"/>
      <c r="F51" s="5"/>
      <c r="G51" s="5"/>
      <c r="M51" s="7"/>
      <c r="N51" s="5"/>
      <c r="O51" s="5"/>
      <c r="P51" s="5"/>
      <c r="Q51" s="5"/>
      <c r="R51" s="5"/>
      <c r="S51" s="5"/>
      <c r="T51" s="5"/>
    </row>
    <row r="52" spans="1:20" x14ac:dyDescent="0.25">
      <c r="A52" s="9"/>
      <c r="B52" s="5"/>
      <c r="C52" s="5"/>
      <c r="D52" s="5"/>
      <c r="E52" s="5"/>
      <c r="F52" s="5"/>
      <c r="G52" s="5"/>
      <c r="M52" s="82"/>
      <c r="N52" s="4"/>
      <c r="O52" s="4"/>
      <c r="P52" s="4"/>
      <c r="Q52" s="4"/>
      <c r="R52" s="4"/>
      <c r="S52" s="4"/>
      <c r="T52" s="32"/>
    </row>
    <row r="53" spans="1:20" ht="15.75" thickBot="1" x14ac:dyDescent="0.3">
      <c r="A53" s="57"/>
      <c r="M53" s="31"/>
      <c r="N53" s="83"/>
      <c r="O53" s="83"/>
      <c r="P53" s="83"/>
      <c r="Q53" s="83"/>
      <c r="R53" s="83"/>
      <c r="S53" s="83"/>
      <c r="T53" s="83"/>
    </row>
    <row r="54" spans="1:20" ht="15.75" thickTop="1" x14ac:dyDescent="0.25">
      <c r="M54" s="31"/>
      <c r="N54" s="10"/>
      <c r="O54" s="10"/>
      <c r="P54" s="10"/>
      <c r="Q54" s="10"/>
      <c r="R54" s="7"/>
      <c r="S54" s="7"/>
      <c r="T54" s="7"/>
    </row>
    <row r="55" spans="1:20" x14ac:dyDescent="0.25">
      <c r="A55" s="16"/>
      <c r="M55" s="31"/>
      <c r="N55" s="10"/>
      <c r="O55" s="10"/>
      <c r="P55" s="10"/>
      <c r="Q55" s="10"/>
      <c r="R55" s="7"/>
      <c r="S55" s="7"/>
      <c r="T55" s="7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63"/>
      <c r="M56" s="31"/>
      <c r="N56" s="7"/>
      <c r="O56" s="7"/>
      <c r="P56" s="7"/>
      <c r="Q56" s="7"/>
      <c r="R56" s="7"/>
      <c r="S56" s="7"/>
      <c r="T56" s="7"/>
    </row>
    <row r="57" spans="1:20" x14ac:dyDescent="0.25">
      <c r="A57" s="44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64"/>
      <c r="M57" s="31"/>
      <c r="N57" s="7"/>
      <c r="O57" s="7"/>
      <c r="P57" s="7"/>
      <c r="Q57" s="7"/>
      <c r="R57" s="7"/>
      <c r="S57" s="7"/>
      <c r="T57" s="7"/>
    </row>
    <row r="58" spans="1:20" x14ac:dyDescent="0.25">
      <c r="A58" s="4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65"/>
      <c r="M58" s="31"/>
      <c r="N58" s="7"/>
      <c r="O58" s="7"/>
      <c r="P58" s="7"/>
      <c r="Q58" s="7"/>
      <c r="R58" s="7"/>
      <c r="S58" s="7"/>
      <c r="T58" s="7"/>
    </row>
    <row r="59" spans="1:20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"/>
      <c r="N59" s="5"/>
      <c r="O59" s="5"/>
      <c r="P59" s="5"/>
      <c r="Q59" s="5"/>
      <c r="R59" s="5"/>
      <c r="S59" s="5"/>
      <c r="T59" s="5"/>
    </row>
    <row r="60" spans="1:20" x14ac:dyDescent="0.25">
      <c r="A60" s="16"/>
      <c r="B60" s="10"/>
      <c r="C60" s="10"/>
      <c r="D60" s="10"/>
      <c r="E60" s="10"/>
      <c r="F60" s="10"/>
      <c r="G60" s="10"/>
      <c r="H60" s="10"/>
      <c r="M60" s="82"/>
      <c r="N60" s="4"/>
      <c r="O60" s="4"/>
      <c r="P60" s="4"/>
      <c r="Q60" s="4"/>
      <c r="R60" s="4"/>
      <c r="S60" s="4"/>
      <c r="T60" s="32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63"/>
      <c r="M61" s="31"/>
      <c r="N61" s="7"/>
      <c r="O61" s="7"/>
      <c r="P61" s="7"/>
      <c r="Q61" s="7"/>
      <c r="R61" s="7"/>
      <c r="S61" s="7"/>
      <c r="T61" s="7"/>
    </row>
    <row r="62" spans="1:20" x14ac:dyDescent="0.25">
      <c r="A62" s="44"/>
      <c r="B62" s="44"/>
      <c r="C62" s="44"/>
      <c r="D62" s="44"/>
      <c r="E62" s="44"/>
      <c r="F62" s="44"/>
      <c r="G62" s="44"/>
      <c r="H62" s="44"/>
      <c r="I62" s="11"/>
      <c r="J62" s="11"/>
      <c r="K62" s="11"/>
      <c r="L62" s="65"/>
      <c r="M62" s="31"/>
      <c r="N62" s="10"/>
      <c r="O62" s="10"/>
      <c r="P62" s="10"/>
      <c r="Q62" s="10"/>
      <c r="R62" s="10"/>
      <c r="S62" s="10"/>
      <c r="T62" s="10"/>
    </row>
    <row r="63" spans="1:20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81"/>
      <c r="M63" s="31"/>
      <c r="N63" s="10"/>
      <c r="O63" s="10"/>
      <c r="P63" s="10"/>
      <c r="Q63" s="10"/>
      <c r="R63" s="10"/>
      <c r="S63" s="10"/>
      <c r="T63" s="10"/>
    </row>
    <row r="64" spans="1:20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31"/>
      <c r="N64" s="7"/>
      <c r="O64" s="7"/>
      <c r="P64" s="7"/>
      <c r="Q64" s="7"/>
      <c r="R64" s="7"/>
      <c r="S64" s="7"/>
      <c r="T64" s="7"/>
    </row>
    <row r="65" spans="1:20" x14ac:dyDescent="0.25">
      <c r="A65" s="16"/>
      <c r="M65" s="31"/>
      <c r="N65" s="7"/>
      <c r="O65" s="7"/>
      <c r="P65" s="7"/>
      <c r="Q65" s="7"/>
      <c r="R65" s="7"/>
      <c r="S65" s="7"/>
      <c r="T65" s="7"/>
    </row>
    <row r="66" spans="1:2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63"/>
      <c r="M66" s="31"/>
      <c r="N66" s="7"/>
      <c r="O66" s="7"/>
      <c r="P66" s="7"/>
      <c r="Q66" s="7"/>
      <c r="R66" s="7"/>
      <c r="S66" s="7"/>
      <c r="T66" s="7"/>
    </row>
    <row r="67" spans="1:20" x14ac:dyDescent="0.25">
      <c r="A67" s="44"/>
      <c r="B67" s="44"/>
      <c r="C67" s="44"/>
      <c r="D67" s="44"/>
      <c r="E67" s="44"/>
      <c r="F67" s="44"/>
      <c r="G67" s="44"/>
      <c r="H67" s="44"/>
      <c r="I67" s="11"/>
      <c r="J67" s="11"/>
      <c r="K67" s="11"/>
      <c r="L67" s="11"/>
    </row>
    <row r="68" spans="1:20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70" spans="1:20" x14ac:dyDescent="0.25">
      <c r="A70" s="16"/>
    </row>
    <row r="71" spans="1:2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3"/>
    </row>
    <row r="72" spans="1:20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20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5" spans="1:20" x14ac:dyDescent="0.25">
      <c r="A75" s="16"/>
    </row>
    <row r="76" spans="1:2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3"/>
    </row>
    <row r="77" spans="1:20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20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80" spans="1:20" x14ac:dyDescent="0.25">
      <c r="A80" s="16"/>
    </row>
    <row r="81" spans="1:2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3"/>
    </row>
    <row r="82" spans="1:22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22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5" spans="1:22" x14ac:dyDescent="0.25">
      <c r="A85" s="60"/>
    </row>
    <row r="86" spans="1:22" x14ac:dyDescent="0.25">
      <c r="A86" s="61"/>
      <c r="V86" s="16"/>
    </row>
    <row r="87" spans="1:22" x14ac:dyDescent="0.25">
      <c r="A87" s="59"/>
      <c r="B87" s="2"/>
      <c r="C87" s="2"/>
      <c r="D87" s="2"/>
      <c r="E87" s="2"/>
      <c r="F87" s="2"/>
      <c r="G87" s="2"/>
      <c r="H87" s="2"/>
      <c r="I87" s="2"/>
      <c r="J87" s="2"/>
      <c r="K87" s="2"/>
      <c r="L87" s="13"/>
      <c r="N87" s="59"/>
      <c r="O87" s="4"/>
      <c r="P87" s="4"/>
      <c r="Q87" s="4"/>
      <c r="R87" s="4"/>
      <c r="S87" s="4"/>
      <c r="T87" s="4"/>
      <c r="U87" s="32"/>
      <c r="V87" s="7"/>
    </row>
    <row r="88" spans="1:22" x14ac:dyDescent="0.25">
      <c r="A88" s="1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N88" s="7"/>
      <c r="O88" s="7"/>
      <c r="P88" s="7"/>
      <c r="Q88" s="7"/>
      <c r="R88" s="7"/>
      <c r="S88" s="7"/>
      <c r="T88" s="7"/>
      <c r="U88" s="7"/>
      <c r="V88" s="37"/>
    </row>
    <row r="89" spans="1:22" x14ac:dyDescent="0.25">
      <c r="A89" s="15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N89" s="7"/>
      <c r="O89" s="7"/>
      <c r="P89" s="7"/>
      <c r="Q89" s="7"/>
      <c r="R89" s="7"/>
      <c r="S89" s="7"/>
      <c r="T89" s="7"/>
      <c r="U89" s="7"/>
      <c r="V89" s="37"/>
    </row>
    <row r="90" spans="1:22" x14ac:dyDescent="0.25">
      <c r="A90" s="1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N90" s="7"/>
      <c r="O90" s="7"/>
      <c r="P90" s="7"/>
      <c r="Q90" s="7"/>
      <c r="R90" s="7"/>
      <c r="S90" s="7"/>
      <c r="T90" s="7"/>
      <c r="U90" s="7"/>
      <c r="V90" s="37"/>
    </row>
    <row r="91" spans="1:22" x14ac:dyDescent="0.25">
      <c r="A91" s="15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N91" s="7"/>
      <c r="O91" s="7"/>
      <c r="P91" s="7"/>
      <c r="Q91" s="7"/>
      <c r="R91" s="7"/>
      <c r="S91" s="7"/>
      <c r="T91" s="7"/>
      <c r="U91" s="7"/>
      <c r="V91" s="37"/>
    </row>
    <row r="92" spans="1:22" x14ac:dyDescent="0.25">
      <c r="A92" s="15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N92" s="7"/>
      <c r="O92" s="7"/>
      <c r="P92" s="7"/>
      <c r="Q92" s="7"/>
      <c r="R92" s="7"/>
      <c r="S92" s="7"/>
      <c r="T92" s="7"/>
      <c r="U92" s="7"/>
      <c r="V92" s="37"/>
    </row>
    <row r="93" spans="1:22" x14ac:dyDescent="0.25">
      <c r="A93" s="15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N93" s="7"/>
      <c r="O93" s="7"/>
      <c r="P93" s="7"/>
      <c r="Q93" s="7"/>
      <c r="R93" s="7"/>
      <c r="S93" s="7"/>
      <c r="T93" s="7"/>
      <c r="U93" s="7"/>
      <c r="V93" s="37"/>
    </row>
    <row r="94" spans="1:22" x14ac:dyDescent="0.25">
      <c r="N94" s="84"/>
      <c r="O94" s="7"/>
      <c r="P94" s="7"/>
      <c r="Q94" s="7"/>
      <c r="R94" s="7"/>
      <c r="S94" s="7"/>
      <c r="T94" s="7"/>
      <c r="U94" s="7"/>
      <c r="V94" s="7"/>
    </row>
    <row r="95" spans="1:22" x14ac:dyDescent="0.25">
      <c r="A95" s="61"/>
      <c r="N95" s="84"/>
      <c r="O95" s="7"/>
      <c r="P95" s="7"/>
      <c r="Q95" s="7"/>
      <c r="R95" s="7"/>
      <c r="S95" s="7"/>
      <c r="T95" s="7"/>
      <c r="U95" s="7"/>
      <c r="V95" s="7"/>
    </row>
    <row r="96" spans="1:22" x14ac:dyDescent="0.25">
      <c r="A96" s="26"/>
      <c r="B96" s="2"/>
      <c r="C96" s="2"/>
      <c r="D96" s="2"/>
      <c r="E96" s="2"/>
      <c r="F96" s="2"/>
      <c r="G96" s="2"/>
      <c r="H96" s="2"/>
      <c r="I96" s="2"/>
      <c r="J96" s="2"/>
      <c r="K96" s="2"/>
      <c r="L96" s="13"/>
    </row>
    <row r="97" spans="1:14" x14ac:dyDescent="0.25">
      <c r="A97" s="1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4" x14ac:dyDescent="0.25">
      <c r="A98" s="1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100" spans="1:14" x14ac:dyDescent="0.25">
      <c r="A100" s="60"/>
      <c r="M100" s="16"/>
    </row>
    <row r="101" spans="1:14" x14ac:dyDescent="0.25">
      <c r="A101" s="2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3"/>
    </row>
    <row r="102" spans="1:14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37"/>
      <c r="N102" s="19"/>
    </row>
    <row r="103" spans="1:14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37"/>
      <c r="N103" s="19"/>
    </row>
    <row r="104" spans="1:14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37"/>
      <c r="N104" s="19"/>
    </row>
    <row r="105" spans="1:14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37"/>
      <c r="N105" s="19"/>
    </row>
    <row r="106" spans="1:14" x14ac:dyDescent="0.25">
      <c r="M106" s="37"/>
      <c r="N106" s="19"/>
    </row>
    <row r="107" spans="1:14" ht="15.75" thickBot="1" x14ac:dyDescent="0.3">
      <c r="A107" s="57"/>
    </row>
    <row r="108" spans="1:14" ht="15.75" thickTop="1" x14ac:dyDescent="0.25">
      <c r="A108" s="62"/>
      <c r="N108" s="40"/>
    </row>
  </sheetData>
  <mergeCells count="4">
    <mergeCell ref="B40:G40"/>
    <mergeCell ref="V13:W13"/>
    <mergeCell ref="AD13:AE13"/>
    <mergeCell ref="S4:S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H g J T z X e q f C o A A A A + Q A A A B I A H A B D b 2 5 m a W c v U G F j a 2 F n Z S 5 4 b W w g o h g A K K A U A A A A A A A A A A A A A A A A A A A A A A A A A A A A h Y 8 x D o I w G E a v Q r r T l h L R k J 8 y O J m I M T E x r k 2 t 0 A j F 0 G K 5 m 4 N H 8 g q S K O r m + L 2 8 4 X 2 P 2 x 3 y o a m D q + q s b k 2 G I k x R o I x s j 9 q U G e r d K V y g n M N W y L M o V T D K x q a D P W a o c u 6 S E u K 9 x z 7 G b V c S R m l E D s V 6 J y v V C P S R 9 X 8 5 1 M Y 6 Y a R C H P a v G M 5 w k u B Z P E 9 w l D A G Z O J Q a P N 1 2 J i M K Z A f C M u + d n 2 n u D L h a g N k m k D e N / g T U E s D B B Q A A g A I A C B 4 C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e A l P K I p H u A 4 A A A A R A A A A E w A c A E Z v c m 1 1 b G F z L 1 N l Y 3 R p b 2 4 x L m 0 g o h g A K K A U A A A A A A A A A A A A A A A A A A A A A A A A A A A A K 0 5 N L s n M z 1 M I h t C G 1 g B Q S w E C L Q A U A A I A C A A g e A l P N d 6 p 8 K g A A A D 5 A A A A E g A A A A A A A A A A A A A A A A A A A A A A Q 2 9 u Z m l n L 1 B h Y 2 t h Z 2 U u e G 1 s U E s B A i 0 A F A A C A A g A I H g J T w / K 6 a u k A A A A 6 Q A A A B M A A A A A A A A A A A A A A A A A 9 A A A A F t D b 2 5 0 Z W 5 0 X 1 R 5 c G V z X S 5 4 b W x Q S w E C L Q A U A A I A C A A g e A l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Y O B e R S G R e U y Y b z L 3 V A a A 1 g A A A A A C A A A A A A A D Z g A A w A A A A B A A A A D j 4 8 b 4 n Z 7 u C + Q D 9 A S c K g K Q A A A A A A S A A A C g A A A A E A A A A E N A 4 w b I W L A T 1 E d x J M J 2 u S p Q A A A A 2 W u w C N P X 4 6 C C K r N L 4 c x V t 1 u q L Y q i u c k + 4 e S k c k l j I j E m L E 6 H E + M Q n R b L u 7 X f B w L b x u t S P o x l y 0 4 q / l J C b W k M v Q U Z 7 e 8 O n C R 9 p f 0 e D X 7 C b 5 M U A A A A r o 6 G x 5 x L J z H V I j j y X X y C F O m 1 7 n 4 = < / D a t a M a s h u p > 
</file>

<file path=customXml/itemProps1.xml><?xml version="1.0" encoding="utf-8"?>
<ds:datastoreItem xmlns:ds="http://schemas.openxmlformats.org/officeDocument/2006/customXml" ds:itemID="{3786C373-B88C-42B7-BE8E-9458AF5FE9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Drop down lists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Shailesh Patil</dc:creator>
  <cp:lastModifiedBy>Shailesh Patil</cp:lastModifiedBy>
  <cp:lastPrinted>2021-08-27T06:15:56Z</cp:lastPrinted>
  <dcterms:created xsi:type="dcterms:W3CDTF">2017-05-31T13:05:47Z</dcterms:created>
  <dcterms:modified xsi:type="dcterms:W3CDTF">2021-09-06T05:23:42Z</dcterms:modified>
</cp:coreProperties>
</file>